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55" firstSheet="6" activeTab="7"/>
  </bookViews>
  <sheets>
    <sheet name="招-封面 招标工程量清单" sheetId="20" state="hidden" r:id="rId1"/>
    <sheet name="编制说明" sheetId="19" state="hidden" r:id="rId2"/>
    <sheet name="汇总表" sheetId="17" state="hidden" r:id="rId3"/>
    <sheet name="清单明细一" sheetId="13" state="hidden" r:id="rId4"/>
    <sheet name="清单明细二" sheetId="15" state="hidden" r:id="rId5"/>
    <sheet name="招-封面 招标工程量清单1" sheetId="24" r:id="rId6"/>
    <sheet name="编制说明1" sheetId="25" r:id="rId7"/>
    <sheet name="电梯质保投标报价汇总表" sheetId="26" r:id="rId8"/>
    <sheet name="4#地块电梯维修清单" sheetId="27" r:id="rId9"/>
    <sheet name="5#地块电梯维修清单" sheetId="28" r:id="rId10"/>
    <sheet name="电梯质保控制价计算表" sheetId="21" state="hidden" r:id="rId11"/>
    <sheet name="询价记录" sheetId="23" state="hidden" r:id="rId12"/>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xlnm._FilterDatabase" localSheetId="8" hidden="1">'4#地块电梯维修清单'!$A$2:$H$61</definedName>
    <definedName name="_0.6_3.2">#REF!</definedName>
    <definedName name="_000年.xls">#REF!</definedName>
    <definedName name="_001年.xls">#REF!</definedName>
    <definedName name="_002年.xls">#REF!</definedName>
    <definedName name="_Fill" hidden="1">[1]eqpmad2!#REF!</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'[3]6'!$B$6:$G$8</definedName>
    <definedName name="AIFG">#REF!</definedName>
    <definedName name="aiu_bottom">'[4]Financ. Overview'!#REF!</definedName>
    <definedName name="Bust">'[5]00000ppy'!$C$31</definedName>
    <definedName name="Continue">'[5]00000ppy'!$C$9</definedName>
    <definedName name="D">#REF!</definedName>
    <definedName name="D0">#REF!</definedName>
    <definedName name="D00">#REF!</definedName>
    <definedName name="D000">#REF!</definedName>
    <definedName name="Database">#REF!</definedName>
    <definedName name="ddfft">'[3]1'!$B$4:$G$7</definedName>
    <definedName name="dw">[6]成本管控汇总表!$A$1:$A$65536</definedName>
    <definedName name="fff">[7]单价分析表!$F$11:$K$14,[7]单价分析表!$F$16:$K$26,[7]单价分析表!$F$28:$K$29</definedName>
    <definedName name="FGGGGGGGGGG">#REF!</definedName>
    <definedName name="FRC">[8]Main!$C$9</definedName>
    <definedName name="G">#REF!</definedName>
    <definedName name="GFF">#REF!</definedName>
    <definedName name="GGFGFGFGFGF">#REF!</definedName>
    <definedName name="GGGGG">#REF!</definedName>
    <definedName name="gggggg" hidden="1">#REF!</definedName>
    <definedName name="gsqy">'[7]分部分项清单(模板)'!#REF!</definedName>
    <definedName name="haoi">'[9]3'!$B$6:$G$9</definedName>
    <definedName name="hostfee">'[4]Financ. Overview'!$H$12</definedName>
    <definedName name="hraiu_bottom">'[4]Financ. Overview'!#REF!</definedName>
    <definedName name="hvac">'[4]Financ. Overview'!#REF!</definedName>
    <definedName name="HWSheet">1</definedName>
    <definedName name="MakeIt">'[5]00000ppy'!$A$26</definedName>
    <definedName name="Module.Prix_SMC">#N/A</definedName>
    <definedName name="OS">[10]Open!#REF!</definedName>
    <definedName name="pr_toolbox">[4]Toolbox!$A$3:$I$80</definedName>
    <definedName name="_xlnm.Print_Area" hidden="1">#REF!</definedName>
    <definedName name="_xlnm.Print_Titles" hidden="1">#REF!</definedName>
    <definedName name="Prix_SMC">#N/A</definedName>
    <definedName name="QWE">'[2]SW-TEO'!#REF!</definedName>
    <definedName name="QWEQEQEQ">#REF!</definedName>
    <definedName name="RERERERER" hidden="1">#REF!</definedName>
    <definedName name="s_c_list">[11]Toolbox!$A$7:$H$969</definedName>
    <definedName name="SCG">'[12]G.1R-Shou COP Gf'!#REF!</definedName>
    <definedName name="sdlfee">'[4]Financ. Overview'!$H$13</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olar_ratio">'[13]POWER ASSUMPTIONS'!$H$7</definedName>
    <definedName name="ss7fee">'[4]Financ. Overview'!$H$18</definedName>
    <definedName name="SSSSS" hidden="1">#REF!</definedName>
    <definedName name="subsfee">'[4]Financ. Overview'!$H$14</definedName>
    <definedName name="toolbox">[14]Toolbox!$C$5:$T$1578</definedName>
    <definedName name="ttt">#REF!</definedName>
    <definedName name="TTTTT">#REF!</definedName>
    <definedName name="TTTTTTTT">#REF!</definedName>
    <definedName name="uyk">[15]室内汇总!$B$14:$C$20</definedName>
    <definedName name="V5.1Fee">'[4]Financ. Overview'!$H$15</definedName>
    <definedName name="W">#REF!</definedName>
    <definedName name="XLRPARAMS_GCMC" hidden="1">[16]XLR_NoRangeSheet!$B$6</definedName>
    <definedName name="YYYY">#REF!</definedName>
    <definedName name="Z_0E9FE9F8_6DD2_48FC_9AB4_8E7C3E14C436_.wvu.PrintArea" hidden="1">#REF!</definedName>
    <definedName name="Z_0E9FE9F8_6DD2_48FC_9AB4_8E7C3E14C436_.wvu.PrintTitles" hidden="1">#REF!</definedName>
    <definedName name="Z32_Cost_red">'[4]Financ. Overview'!#REF!</definedName>
    <definedName name="八">'[17]8'!$B$6:$G$9</definedName>
    <definedName name="材料单价表">[18]材料单价表!$B$3:$B$68</definedName>
    <definedName name="措施费">[19]费率!$B$4</definedName>
    <definedName name="单位">[20]单位库!$A$1:$A$23</definedName>
    <definedName name="地">#REF!</definedName>
    <definedName name="电气新">[21]室内汇总!$B$14:$C$20</definedName>
    <definedName name="二">'[17]2'!$B$6:$G$13</definedName>
    <definedName name="发">[22]室内汇总!$B$14:$C$20</definedName>
    <definedName name="附加赛">#REF!</definedName>
    <definedName name="钢材损耗">[19]费率!$G$2</definedName>
    <definedName name="哈哈">#REF!</definedName>
    <definedName name="好">#REF!</definedName>
    <definedName name="呵呵">#REF!</definedName>
    <definedName name="机械费">#REF!</definedName>
    <definedName name="甲供表">[22]室内汇总!$B$4:$C$11</definedName>
    <definedName name="九">'[9]7'!$B$6:$G$15</definedName>
    <definedName name="凯">#REF!</definedName>
    <definedName name="来老">'[23]3'!$B$6:$G$9</definedName>
    <definedName name="六">'[17]6'!$B$6:$G$8</definedName>
    <definedName name="铝材损耗">[19]费率!$G$1</definedName>
    <definedName name="绿景地产股份有限公司">'[24]2006年10月'!#REF!</definedName>
    <definedName name="面积合计">'[17]面积合计（藏）'!$B$5:$H$88</definedName>
    <definedName name="抹灰人工">'[25]1'!#REF!</definedName>
    <definedName name="你好">#REF!</definedName>
    <definedName name="七">'[17]7'!$B$6:$G$15</definedName>
    <definedName name="请打">'[9]投标材料清单 '!$B$5:$J$75</definedName>
    <definedName name="人工费">#REF!</definedName>
    <definedName name="入户门安装">[22]室内汇总!$B$4:$C$11</definedName>
    <definedName name="三">'[17]3'!$B$6:$G$9</definedName>
    <definedName name="石材幕墙">#REF!</definedName>
    <definedName name="四">'[17]4'!$B$6:$G$43</definedName>
    <definedName name="损耗">#REF!</definedName>
    <definedName name="砼30水">[26]材料表!$D$5</definedName>
    <definedName name="砼桩工">[26]材料表!$D$8</definedName>
    <definedName name="投标材料清单">'[17]投标材料清单 '!$B$5:$J$75</definedName>
    <definedName name="图号2">[27]室内汇总!$B$4:$C$11</definedName>
    <definedName name="图号3">[27]室内汇总!$B$14:$C$20</definedName>
    <definedName name="外委加工.dbf">#REF!</definedName>
    <definedName name="五">'[17]5'!$B$6:$G$15</definedName>
    <definedName name="一">'[17]1'!$B$4:$G$7</definedName>
    <definedName name="运动中心外墙">[28]室内汇总!$B$4:$C$11</definedName>
    <definedName name="主材总损耗率">[19]费率!$G$5</definedName>
    <definedName name="总汇总表">#REF!</definedName>
    <definedName name="_0.6_3.2" localSheetId="1">#REF!</definedName>
    <definedName name="_000年.xls" localSheetId="1">#REF!</definedName>
    <definedName name="_001年.xls" localSheetId="1">#REF!</definedName>
    <definedName name="_002年.xls" localSheetId="1">#REF!</definedName>
    <definedName name="_Fill" localSheetId="1" hidden="1">[29]eqpmad2!#REF!</definedName>
    <definedName name="AIFG" localSheetId="1">#REF!</definedName>
    <definedName name="D" localSheetId="1">#REF!</definedName>
    <definedName name="D0" localSheetId="1">#REF!</definedName>
    <definedName name="D00" localSheetId="1">#REF!</definedName>
    <definedName name="D000" localSheetId="1">#REF!</definedName>
    <definedName name="Database" localSheetId="1">#REF!</definedName>
    <definedName name="dw" localSheetId="1">[30]成本管控汇总表!$A$1:$A$65536</definedName>
    <definedName name="fff" localSheetId="1">[31]单价分析表!$F$11:$K$14,[31]单价分析表!$F$16:$K$26,[31]单价分析表!$F$28:$K$29</definedName>
    <definedName name="FGGGGGGGGGG" localSheetId="1">#REF!</definedName>
    <definedName name="G" localSheetId="1">#REF!</definedName>
    <definedName name="GFF" localSheetId="1">#REF!</definedName>
    <definedName name="GGFGFGFGFGF" localSheetId="1">#REF!</definedName>
    <definedName name="GGGGG" localSheetId="1">#REF!</definedName>
    <definedName name="gggggg" localSheetId="1" hidden="1">#REF!</definedName>
    <definedName name="gsqy" localSheetId="1">'[31]分部分项清单(模板)'!#REF!</definedName>
    <definedName name="haoi" localSheetId="1">'[32]3'!$B$6:$G$9</definedName>
    <definedName name="_xlnm.Print_Area" localSheetId="1" hidden="1">编制说明!$A$1:$A$30</definedName>
    <definedName name="_xlnm.Print_Titles" localSheetId="1" hidden="1">编制说明!$1:$1</definedName>
    <definedName name="QWEQEQEQ" localSheetId="1">#REF!</definedName>
    <definedName name="RERERERER" localSheetId="1" hidden="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olar_ratio" localSheetId="1">'[33]POWER ASSUMPTIONS'!$H$7</definedName>
    <definedName name="SSSSS" localSheetId="1" hidden="1">#REF!</definedName>
    <definedName name="ttt" localSheetId="1">#REF!</definedName>
    <definedName name="TTTTT" localSheetId="1">#REF!</definedName>
    <definedName name="TTTTTTTT" localSheetId="1">#REF!</definedName>
    <definedName name="uyk" localSheetId="1">[34]室内汇总!$B$14:$C$20</definedName>
    <definedName name="W" localSheetId="1">#REF!</definedName>
    <definedName name="YYYY" localSheetId="1">#REF!</definedName>
    <definedName name="Z_0E9FE9F8_6DD2_48FC_9AB4_8E7C3E14C436_.wvu.PrintArea" localSheetId="1" hidden="1">#REF!</definedName>
    <definedName name="Z_0E9FE9F8_6DD2_48FC_9AB4_8E7C3E14C436_.wvu.PrintTitles" localSheetId="1" hidden="1">#REF!</definedName>
    <definedName name="八" localSheetId="1">'[35]8'!$B$6:$G$9</definedName>
    <definedName name="材料单价表" localSheetId="1">[36]材料单价表!$B$3:$B$68</definedName>
    <definedName name="措施费" localSheetId="1">[37]费率!$B$4</definedName>
    <definedName name="单位" localSheetId="1">[38]单位库!$A$1:$A$23</definedName>
    <definedName name="地" localSheetId="1">#REF!</definedName>
    <definedName name="电气新" localSheetId="1">[39]室内汇总!$B$14:$C$20</definedName>
    <definedName name="二" localSheetId="1">'[35]2'!$B$6:$G$13</definedName>
    <definedName name="发" localSheetId="1">[40]室内汇总!$B$14:$C$20</definedName>
    <definedName name="附加赛" localSheetId="1">#REF!</definedName>
    <definedName name="钢材损耗" localSheetId="1">[37]费率!$G$2</definedName>
    <definedName name="哈哈" localSheetId="1">#REF!</definedName>
    <definedName name="好" localSheetId="1">#REF!</definedName>
    <definedName name="呵呵" localSheetId="1">#REF!</definedName>
    <definedName name="机械费" localSheetId="1">#REF!</definedName>
    <definedName name="甲供表" localSheetId="1">[40]室内汇总!$B$4:$C$11</definedName>
    <definedName name="九" localSheetId="1">'[32]7'!$B$6:$G$15</definedName>
    <definedName name="凯" localSheetId="1">#REF!</definedName>
    <definedName name="来老" localSheetId="1">'[41]3'!$B$6:$G$9</definedName>
    <definedName name="六" localSheetId="1">'[35]6'!$B$6:$G$8</definedName>
    <definedName name="铝材损耗" localSheetId="1">[37]费率!$G$1</definedName>
    <definedName name="面积合计" localSheetId="1">'[35]面积合计（藏）'!$B$5:$H$88</definedName>
    <definedName name="你好" localSheetId="1">#REF!</definedName>
    <definedName name="七" localSheetId="1">'[35]7'!$B$6:$G$15</definedName>
    <definedName name="请打" localSheetId="1">'[32]投标材料清单 '!$B$5:$J$75</definedName>
    <definedName name="人工费" localSheetId="1">#REF!</definedName>
    <definedName name="入户门安装" localSheetId="1">[40]室内汇总!$B$4:$C$11</definedName>
    <definedName name="三" localSheetId="1">'[35]3'!$B$6:$G$9</definedName>
    <definedName name="石材幕墙" localSheetId="1">#REF!</definedName>
    <definedName name="四" localSheetId="1">'[35]4'!$B$6:$G$43</definedName>
    <definedName name="损耗" localSheetId="1">#REF!</definedName>
    <definedName name="砼30水" localSheetId="1">[42]材料表!$D$5</definedName>
    <definedName name="砼桩工" localSheetId="1">[42]材料表!$D$8</definedName>
    <definedName name="投标材料清单" localSheetId="1">'[35]投标材料清单 '!$B$5:$J$75</definedName>
    <definedName name="图号2" localSheetId="1">[43]室内汇总!$B$4:$C$11</definedName>
    <definedName name="图号3" localSheetId="1">[43]室内汇总!$B$14:$C$20</definedName>
    <definedName name="外委加工.dbf" localSheetId="1">#REF!</definedName>
    <definedName name="五" localSheetId="1">'[35]5'!$B$6:$G$15</definedName>
    <definedName name="一" localSheetId="1">'[35]1'!$B$4:$G$7</definedName>
    <definedName name="运动中心外墙" localSheetId="1">[44]室内汇总!$B$4:$C$11</definedName>
    <definedName name="主材总损耗率" localSheetId="1">[37]费率!$G$5</definedName>
    <definedName name="总汇总表" localSheetId="1">#REF!</definedName>
    <definedName name="_0.6_3.2" localSheetId="0">#REF!</definedName>
    <definedName name="_000年.xls" localSheetId="0">#REF!</definedName>
    <definedName name="_001年.xls" localSheetId="0">#REF!</definedName>
    <definedName name="_002年.xls" localSheetId="0">#REF!</definedName>
    <definedName name="_Fill" localSheetId="0" hidden="1">[29]eqpmad2!#REF!</definedName>
    <definedName name="AIFG" localSheetId="0">#REF!</definedName>
    <definedName name="D" localSheetId="0">#REF!</definedName>
    <definedName name="D0" localSheetId="0">#REF!</definedName>
    <definedName name="D00" localSheetId="0">#REF!</definedName>
    <definedName name="D000" localSheetId="0">#REF!</definedName>
    <definedName name="Database" localSheetId="0">#REF!</definedName>
    <definedName name="dw" localSheetId="0">[30]成本管控汇总表!$A$1:$A$65536</definedName>
    <definedName name="fff" localSheetId="0">[31]单价分析表!$F$11:$K$14,[31]单价分析表!$F$16:$K$26,[31]单价分析表!$F$28:$K$29</definedName>
    <definedName name="FGGGGGGGGGG" localSheetId="0">#REF!</definedName>
    <definedName name="G" localSheetId="0">#REF!</definedName>
    <definedName name="GFF" localSheetId="0">#REF!</definedName>
    <definedName name="GGFGFGFGFGF" localSheetId="0">#REF!</definedName>
    <definedName name="GGGGG" localSheetId="0">#REF!</definedName>
    <definedName name="gggggg" localSheetId="0" hidden="1">#REF!</definedName>
    <definedName name="gsqy" localSheetId="0">'[31]分部分项清单(模板)'!#REF!</definedName>
    <definedName name="haoi" localSheetId="0">'[32]3'!$B$6:$G$9</definedName>
    <definedName name="_xlnm.Print_Area" localSheetId="0" hidden="1">#REF!</definedName>
    <definedName name="_xlnm.Print_Titles" localSheetId="0" hidden="1">#REF!</definedName>
    <definedName name="QWEQEQEQ" localSheetId="0">#REF!</definedName>
    <definedName name="RERERERER" localSheetId="0" hidden="1">#REF!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olar_ratio" localSheetId="0">'[33]POWER ASSUMPTIONS'!$H$7</definedName>
    <definedName name="SSSSS" localSheetId="0" hidden="1">#REF!</definedName>
    <definedName name="ttt" localSheetId="0">#REF!</definedName>
    <definedName name="TTTTT" localSheetId="0">#REF!</definedName>
    <definedName name="TTTTTTTT" localSheetId="0">#REF!</definedName>
    <definedName name="uyk" localSheetId="0">[34]室内汇总!$B$14:$C$20</definedName>
    <definedName name="W" localSheetId="0">#REF!</definedName>
    <definedName name="YYYY" localSheetId="0">#REF!</definedName>
    <definedName name="Z_0E9FE9F8_6DD2_48FC_9AB4_8E7C3E14C436_.wvu.PrintArea" localSheetId="0" hidden="1">#REF!</definedName>
    <definedName name="Z_0E9FE9F8_6DD2_48FC_9AB4_8E7C3E14C436_.wvu.PrintTitles" localSheetId="0" hidden="1">#REF!</definedName>
    <definedName name="八" localSheetId="0">'[35]8'!$B$6:$G$9</definedName>
    <definedName name="材料单价表" localSheetId="0">[36]材料单价表!$B$3:$B$68</definedName>
    <definedName name="措施费" localSheetId="0">[37]费率!$B$4</definedName>
    <definedName name="单位" localSheetId="0">[38]单位库!$A$1:$A$23</definedName>
    <definedName name="地" localSheetId="0">#REF!</definedName>
    <definedName name="电气新" localSheetId="0">[39]室内汇总!$B$14:$C$20</definedName>
    <definedName name="二" localSheetId="0">'[35]2'!$B$6:$G$13</definedName>
    <definedName name="发" localSheetId="0">[40]室内汇总!$B$14:$C$20</definedName>
    <definedName name="附加赛" localSheetId="0">#REF!</definedName>
    <definedName name="钢材损耗" localSheetId="0">[37]费率!$G$2</definedName>
    <definedName name="哈哈" localSheetId="0">#REF!</definedName>
    <definedName name="好" localSheetId="0">#REF!</definedName>
    <definedName name="呵呵" localSheetId="0">#REF!</definedName>
    <definedName name="机械费" localSheetId="0">#REF!</definedName>
    <definedName name="甲供表" localSheetId="0">[40]室内汇总!$B$4:$C$11</definedName>
    <definedName name="九" localSheetId="0">'[32]7'!$B$6:$G$15</definedName>
    <definedName name="凯" localSheetId="0">#REF!</definedName>
    <definedName name="来老" localSheetId="0">'[41]3'!$B$6:$G$9</definedName>
    <definedName name="六" localSheetId="0">'[35]6'!$B$6:$G$8</definedName>
    <definedName name="铝材损耗" localSheetId="0">[37]费率!$G$1</definedName>
    <definedName name="面积合计" localSheetId="0">'[35]面积合计（藏）'!$B$5:$H$88</definedName>
    <definedName name="你好" localSheetId="0">#REF!</definedName>
    <definedName name="七" localSheetId="0">'[35]7'!$B$6:$G$15</definedName>
    <definedName name="请打" localSheetId="0">'[32]投标材料清单 '!$B$5:$J$75</definedName>
    <definedName name="人工费" localSheetId="0">#REF!</definedName>
    <definedName name="入户门安装" localSheetId="0">[40]室内汇总!$B$4:$C$11</definedName>
    <definedName name="三" localSheetId="0">'[35]3'!$B$6:$G$9</definedName>
    <definedName name="石材幕墙" localSheetId="0">#REF!</definedName>
    <definedName name="四" localSheetId="0">'[35]4'!$B$6:$G$43</definedName>
    <definedName name="损耗" localSheetId="0">#REF!</definedName>
    <definedName name="砼30水" localSheetId="0">[42]材料表!$D$5</definedName>
    <definedName name="砼桩工" localSheetId="0">[42]材料表!$D$8</definedName>
    <definedName name="投标材料清单" localSheetId="0">'[35]投标材料清单 '!$B$5:$J$75</definedName>
    <definedName name="图号2" localSheetId="0">[43]室内汇总!$B$4:$C$11</definedName>
    <definedName name="图号3" localSheetId="0">[43]室内汇总!$B$14:$C$20</definedName>
    <definedName name="外委加工.dbf" localSheetId="0">#REF!</definedName>
    <definedName name="五" localSheetId="0">'[35]5'!$B$6:$G$15</definedName>
    <definedName name="一" localSheetId="0">'[35]1'!$B$4:$G$7</definedName>
    <definedName name="运动中心外墙" localSheetId="0">[44]室内汇总!$B$4:$C$11</definedName>
    <definedName name="主材总损耗率" localSheetId="0">[37]费率!$G$5</definedName>
    <definedName name="总汇总表" localSheetId="0">#REF!</definedName>
    <definedName name="_xlnm.Print_Area" localSheetId="3">清单明细一!$A$1:$H$203</definedName>
    <definedName name="_xlnm.Print_Area" localSheetId="10">电梯质保控制价计算表!$A$1:$G$25</definedName>
    <definedName name="_xlnm.Print_Area" localSheetId="5">'招-封面 招标工程量清单1'!#REF!</definedName>
    <definedName name="_xlnm.Print_Area" localSheetId="7">电梯质保投标报价汇总表!$A$1:$D$6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<sst xmlns="http://schemas.openxmlformats.org/spreadsheetml/2006/main" count="1280" uniqueCount="646">
  <si>
    <t>（招-封面）</t>
  </si>
  <si>
    <t>档案号：</t>
  </si>
  <si>
    <t>海南省工程建设项目</t>
  </si>
  <si>
    <t>招标工程量清单</t>
  </si>
  <si>
    <t>（第 一 册，共 一 册）</t>
  </si>
  <si>
    <t>建设项目名称：</t>
  </si>
  <si>
    <t>安置房4#、5#地块项目零星维保修工程</t>
  </si>
  <si>
    <t>招标单位名称：</t>
  </si>
  <si>
    <t>海口江东新居第贰置业有限公司</t>
  </si>
  <si>
    <t>编制单位名称：</t>
  </si>
  <si>
    <t>编 制 日 期 ：</t>
  </si>
  <si>
    <t xml:space="preserve">  2025年 12月 4 日</t>
  </si>
  <si>
    <t>安置房4#、5#地块项目零星维保修工程工程量清单编制说明</t>
  </si>
  <si>
    <r>
      <rPr>
        <b/>
        <sz val="10"/>
        <color rgb="FF000000"/>
        <rFont val="宋体"/>
        <charset val="134"/>
      </rPr>
      <t>一、工程概况及内容</t>
    </r>
    <r>
      <rPr>
        <sz val="10"/>
        <color rgb="FF000000"/>
        <rFont val="宋体"/>
        <charset val="134"/>
      </rPr>
      <t xml:space="preserve">
    安置房4#地块：项目位于海口市江东新区白驹大道南侧。用地面积18887.62㎡，容积率3.0。总建筑面积73375.22㎡，地上建筑面57321.54㎡，地下建筑面积16053.68㎡。建设内容包括住宅、商业、公共服务设施配套、地下室及地下车库等，同时建设给排水、电气、消防、人防等工程以及室外配套工程。
    安置房5#地块：项目位于海口市江东新区白驹大道南侧。用地面积32826.92㎡，容积率3.0。总建筑面积127904.84㎡，地上建筑面99443.65㎡，地下建筑面积28461.19㎡。建设内容包括住宅、商业、公共服务设施配套、地下室及地下车库等，同时建设给排水、电气、消防、人防等工程以及室外配套工程。
    本工程内容为安置房4#、5#地块项目零星维保修工程的室内、公共区域所有地面、天棚、墙面的零星维修，包括但不限于：瓷砖更换、天花刷漆、内外墙面刷漆、门套更换、渗漏水修补、照明灯具安装、高空作业、水电、暖安装更换、管道修补、房屋（包 括但不限于卫生间、厨房、阳台、外墙面等）防水等维修工程  （具体工程内容以甲方盖章确认的工程量清单为准）。 </t>
    </r>
  </si>
  <si>
    <r>
      <rPr>
        <b/>
        <sz val="10"/>
        <color rgb="FF000000"/>
        <rFont val="宋体"/>
        <charset val="134"/>
      </rPr>
      <t>二、工程量清单编制依据</t>
    </r>
    <r>
      <rPr>
        <sz val="10"/>
        <color rgb="FF000000"/>
        <rFont val="宋体"/>
        <charset val="134"/>
      </rPr>
      <t xml:space="preserve">
1. 依据本项目施工图、竣工图。
2. 《建设工程工程量清单计价规范》（GB50500-2013）。
3. 《房屋建筑与装饰工程工程量计算规范》。
4. 《市政工程工程量计算规范》。
5. 《通用安装工程工程量计算规范》。
6. 《园林绿化工程工程量计算规范》及解释和勘误。
7. 与本工程有关的标准（包括标准图集）、规范、技术资料、工艺标准、材料做法。
8.海南省装饰装修工程综合定额（2021）
9.海南省装饰装修工程综合定额（2024）
10.海南省房屋修缮与抗震加固综合定额（2015）
</t>
    </r>
    <r>
      <rPr>
        <sz val="10"/>
        <color rgb="FFFF0000"/>
        <rFont val="宋体"/>
        <charset val="134"/>
      </rPr>
      <t>11. 安置房4#地块项目结算价等。</t>
    </r>
    <r>
      <rPr>
        <sz val="10"/>
        <color rgb="FF000000"/>
        <rFont val="宋体"/>
        <charset val="134"/>
      </rPr>
      <t xml:space="preserve">
</t>
    </r>
    <r>
      <rPr>
        <sz val="10"/>
        <color rgb="FFFF0000"/>
        <rFont val="宋体"/>
        <charset val="134"/>
      </rPr>
      <t>12. 其他有关文件（2025年11月海口市信息价、海口地区建筑工程实物量劳务市场综合单价参考信息表（2025年7-9月份）、本工程认质认价文件及合同清单等资料）</t>
    </r>
    <r>
      <rPr>
        <sz val="10"/>
        <color rgb="FF000000"/>
        <rFont val="宋体"/>
        <charset val="134"/>
      </rPr>
      <t>。</t>
    </r>
  </si>
  <si>
    <r>
      <rPr>
        <b/>
        <sz val="10"/>
        <color rgb="FF000000"/>
        <rFont val="宋体"/>
        <charset val="134"/>
      </rPr>
      <t xml:space="preserve"> 三、编制方法</t>
    </r>
    <r>
      <rPr>
        <sz val="10"/>
        <color rgb="FF000000"/>
        <rFont val="宋体"/>
        <charset val="134"/>
      </rPr>
      <t xml:space="preserve">
1. 根据《建设工程工程量清单计价规范》（GB50500-2013）编列工程量清单。
2. 依据招标图纸，按照《建设工程工程量清单计价规范》（GB50500-2013）计算规则，计算各清单子目工程量。
3. 分部分项工程量清单，根据本项目施工图纸和《建设工程工程量清单计价规范》ＧＢ50500-2013，按照统一的项目编码、项目名称、计量单位和工程量计算规则进行编制。项目特征及工作内容详见《建设工程工程量清单计价规范》ＧＢ50500-2013相应附录规定。</t>
    </r>
  </si>
  <si>
    <r>
      <rPr>
        <b/>
        <sz val="10"/>
        <rFont val="宋体"/>
        <charset val="134"/>
        <scheme val="minor"/>
      </rPr>
      <t>四、计价说明</t>
    </r>
    <r>
      <rPr>
        <sz val="10"/>
        <rFont val="宋体"/>
        <charset val="134"/>
        <scheme val="minor"/>
      </rPr>
      <t xml:space="preserve">
1.本清单的铺贴地面及墙面瓷片（石材）的水泥砂浆结合层（包含清单中单独列项的水泥砂浆找平层）的按照本清单及原施工图纸进行施工，费用含在不含税综合单价内。</t>
    </r>
  </si>
  <si>
    <t>2.本清单材料的总损耗率包含材料的开料排版损耗、加工损耗、施工损耗、运输损耗等所有一切损耗在内。其中：瓷砖（包含抛光砖）的设计排版损耗率按甲方确认的设计排版图进行计算，每栋楼每层套内各户型施工切割剩余的瓷砖（包含抛光砖）只在同一层的各户型中相互使用；除开料排版损耗外的施工损耗、运输损耗、现场加工损耗等所有一切损耗率合计为2％（不包含运输到专业加工厂进行切割磨边加工部分的加工损耗率）；需运输到专业加工厂进行切割磨边加工部分的瓷砖（包含抛光砖），此部分的加工损耗为1％。</t>
  </si>
  <si>
    <t>3.本清单中的总损耗率均为包干损耗率，结算时不调整。</t>
  </si>
  <si>
    <t>4.所有石材均包括:开槽\磨边及图纸设计中应完成的其它内容;厨房及洗手间的石材必须进行防水保护层处理，该部分费用应包含在相应的包干单价中，结算时不再另行单独计取。</t>
  </si>
  <si>
    <t>5.天花吊顶包干单价均包含开孔、检修口等费用在内。</t>
  </si>
  <si>
    <t>6.内墙乳胶漆主材基价包含底漆及面漆，其它费中包含油界面剂在内.乳胶漆主材按一底两面考虑，底漆含量和面漆含量投标报价根据图纸综合考虑，结算时不调整，无论实际施工几底几面其他费均不调整，外墙真石漆按原施工图纸进行施工恢复。</t>
  </si>
  <si>
    <t>7.洁具人工辅材单价包含角阀、排水软管所有辅材的供应及安装费用。</t>
  </si>
  <si>
    <t>8.本清单子目的各包干单价已包含完成该子目所包含的所有内容,不因本清单未特别注明而调整包干单价。</t>
  </si>
  <si>
    <t>9.住宅套内装修面积计算规则为：各套公用墙（包括各套之间、各套与公共建筑间的分隔墙及外墙）的中心线所围的水平投影面积计算(中心线以外的飘窗台面积不计算装修面积)；阳台装修面积（含封闭阳台）按水平投影面积（不含外墙）的一半计算，露台不计算面积；
大堂装修面积计算规则为：各电梯大堂公用墙（包括各套与公共建筑间的分隔墙及外墙，包括电梯间前室与电梯轿厢、楼梯间的分隔墙及外墙）的中心线所围的水平投影面积计算（中心线以外的飘窗台面积不计算装修面积），不含电梯轿厢、封闭式楼梯间面积；门廊装修面积（不含架空层）按水平投影面积（不含外墙）的一半计算；
标准层电梯厅装修面积计算规则为：各标准层电梯厅公用墙（包括各套与公共建筑间的分隔墙及外墙，包括电梯间前室与电梯轿厢、楼梯间的分隔墙及外墙）的中心线所围的水平投影面积计算（中心线以外的飘窗台面积不计算装修面积），不含电梯轿厢、封闭式楼梯间面积；</t>
  </si>
  <si>
    <t>10.合同价格形式：固定不含税全费用单价</t>
  </si>
  <si>
    <t>11.固定不含税全费用单价已包含：人工费、机械费、材料费（含主材及所需的全部辅材  ）、搭拆脚手架工料费用、石材磨边、材料加工、开槽、防污、防水、以及幕墙防污防腐防火防水防雷、钢型材除锈防腐费、吊装费、工程及材料所须的各种检测费及试验费（包含幕墙的“ 四性”试验检测费和实验的试件材料费及安装人工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t>
  </si>
  <si>
    <t>12.石材线、木饰线、石膏线等线条长度均按外边线计算。</t>
  </si>
  <si>
    <t>13.上述包干单价已包含其它专业的收边收口及搭拆脚手架费用(特殊注明的除外)。</t>
  </si>
  <si>
    <t>14.本清单未尽事宜或与原施工图有冲突的，以原施工图为准；清单按原施工图纸列项并套用本清单相应子目包干单价。</t>
  </si>
  <si>
    <t>15.如装修施工图中未显示出地面装饰层厚度，计算墙面装饰层的工程量时，应扣减地面装饰层的厚度（地热地区还需扣除地热层厚度）。标高尺寸标示为净空尺寸的不扣除。</t>
  </si>
  <si>
    <t>16.税金：本工程税金税率由投标人自行根据自身情况填报。</t>
  </si>
  <si>
    <t>17.本清单中的线管安装其它费是针对大面积施工情况进行定价的。若是主体单位预留的位置不对，需进行局部移位调整的，则线管安装的其它费由双方另外协商定价</t>
  </si>
  <si>
    <t>18.投标人报价要求：各清单主材明细详见各清单备注中所列举材料明细，不含税其他费用包括主材以外的所有材料费、人工费、机械费、管理费、利润、规费等一切费用（但不含税金），发包人无需再另行支付其他费用。</t>
  </si>
  <si>
    <t>五、工程量计算说明：</t>
  </si>
  <si>
    <t>1.乳胶漆的工程量按见光展开面积计算。其中： 石膏角线的单价不包含乳胶漆，石膏角线乳胶漆的单价按天花或墙面乳胶漆项目的单价执行。石膏角线乳胶漆的工程量按石膏线立面高度投影尺寸乘以延长米计算工程量，石膏平线乳胶漆的工程量按石膏平线水平投影尺寸乘以延长米计算工程量。</t>
  </si>
  <si>
    <t>2.天花吊顶按水平投影面积计算工程量，不扣除天花与墙面阴角位的角线水平宽度投影位重叠的面积和天花吊顶内的平面装饰线位重叠的天花吊顶面积。计算造型天花吊项的面积时需扣除造型天花中没有吊顶直接采用原混凝土楼板天花部分的面积；计算中间没有吊项直接采用原混凝土楼板天花的造型天花面积时，当有灯槽且灯槽位有角线的，以不包含角线的灯槽外边线计算工程量。</t>
  </si>
  <si>
    <t>3.门槛石按施工图纸中的地花图所标示的尺寸计算。</t>
  </si>
  <si>
    <t>4.洗手间与厨房墙面瓷砖阴角位两块瓷砖交接重叠不见光位置的瓷砖面积不计入瓷砖的工程量，该部分面积计入瓷砖设计排版的损耗率。</t>
  </si>
  <si>
    <t>5.各空间地面砖工程量按竣工图纸中地花图所标示的尺寸，不扣除地脚底部遮挡部分的面积。计算木地板面积时，不扣除与墙体交接位预留的木地板伸缩缝的面积。</t>
  </si>
  <si>
    <t>6.装饰面采用平方米计算的，按完成见光面积计算，不含搭接和折边。如装饰面上另做装饰线条、装饰物的，不扣除装饰线条、装饰物所占的装饰面的面积。</t>
  </si>
  <si>
    <t>7.本工程量清单中未特别说明的，则按国家发布的最新《房屋建筑与装饰工程工程量计算规范》、《通用安装工程工程量计算规范》中的计算规则计取工程量。</t>
  </si>
  <si>
    <t>安置房4#、5#地块项目零星维保修工程报价单汇总表</t>
  </si>
  <si>
    <t>序号</t>
  </si>
  <si>
    <t>单位工程名称</t>
  </si>
  <si>
    <t>费用合计（元）</t>
  </si>
  <si>
    <t>备注</t>
  </si>
  <si>
    <t>一</t>
  </si>
  <si>
    <t>瓷砖类</t>
  </si>
  <si>
    <t>二</t>
  </si>
  <si>
    <t>油漆类</t>
  </si>
  <si>
    <t>三</t>
  </si>
  <si>
    <t>门类</t>
  </si>
  <si>
    <t>四</t>
  </si>
  <si>
    <t>卫具类</t>
  </si>
  <si>
    <t>五</t>
  </si>
  <si>
    <t>灯具、开关插座及智能化类</t>
  </si>
  <si>
    <t>六</t>
  </si>
  <si>
    <t>铝合金门窗类</t>
  </si>
  <si>
    <t>七</t>
  </si>
  <si>
    <t>渗漏水修复类</t>
  </si>
  <si>
    <t>八</t>
  </si>
  <si>
    <t>其他类</t>
  </si>
  <si>
    <t>橱柜门更换、墙体砌筑、砌体墙拆除等</t>
  </si>
  <si>
    <t>九</t>
  </si>
  <si>
    <t>公区类</t>
  </si>
  <si>
    <t>十</t>
  </si>
  <si>
    <t>商业楼类</t>
  </si>
  <si>
    <t>十一</t>
  </si>
  <si>
    <t>市政配套及绿化维护</t>
  </si>
  <si>
    <t>十二</t>
  </si>
  <si>
    <t>计日工</t>
  </si>
  <si>
    <t>十三</t>
  </si>
  <si>
    <t>税金（%）</t>
  </si>
  <si>
    <t>实际税率由投标人根据自身情况填报</t>
  </si>
  <si>
    <t>含税总价：</t>
  </si>
  <si>
    <t>编制人：</t>
  </si>
  <si>
    <t>审核人：</t>
  </si>
  <si>
    <t>安置房4#、5#地块项目零星维保修工程清单（一）</t>
  </si>
  <si>
    <t>项目名称</t>
  </si>
  <si>
    <t>项目特征描述</t>
  </si>
  <si>
    <t>单位</t>
  </si>
  <si>
    <t>工程量</t>
  </si>
  <si>
    <t>不含税综合单价（元）</t>
  </si>
  <si>
    <t>不含税合价（元）</t>
  </si>
  <si>
    <t>一、瓷砖类</t>
  </si>
  <si>
    <t>汇德里项目合同价</t>
  </si>
  <si>
    <t>青春东岸及悦顺居项目</t>
  </si>
  <si>
    <t>一置业控制价</t>
  </si>
  <si>
    <t>4#地块结算价</t>
  </si>
  <si>
    <t>定额套价</t>
  </si>
  <si>
    <t>瓷砖更换（空鼓、破损）</t>
  </si>
  <si>
    <t>包括不限于：
1、拆除、垃圾清运
2、成品保护
3、干硬性水泥砂浆
4、地砖
5、勾缝
6、包括按原竣工图纸要求完成本清单项工作内容的其他工作、工序内容。</t>
  </si>
  <si>
    <t>m2</t>
  </si>
  <si>
    <t>主材为瓷砖，不分规格</t>
  </si>
  <si>
    <t>瓷砖踢脚线更换</t>
  </si>
  <si>
    <t>包括不限于：
1、拆除、垃圾清运
2、成品保护
3、踢脚线\600*100
4、收边收口
5、包括按原竣工图纸要求完成本清单项工作内容的其他工作、工序内容。</t>
  </si>
  <si>
    <t>主材为瓷砖</t>
  </si>
  <si>
    <t>金属踢脚线更换</t>
  </si>
  <si>
    <t>包括不限于：
1、拆除、垃圾清运
2、成品保护
3、弧形铝合金踢脚线\60mm高
4、收边收口
5、包括按原竣工图纸要求完成本清单项工作内容的其他工作、工序内容。</t>
  </si>
  <si>
    <t>m</t>
  </si>
  <si>
    <t>主材为金属踢脚线</t>
  </si>
  <si>
    <t>金属踢脚线维修加固</t>
  </si>
  <si>
    <t>包括不限于：
1、定位、加固
2、收边收口
3、包括按原竣工图纸要求完成本清单项工作内容的其他工作、工序内容。</t>
  </si>
  <si>
    <t>瓷砖注浆及美容</t>
  </si>
  <si>
    <t>包括不限于：
1、垃圾清运
2、成品保护
3、填充砂浆
4、地砖
5、勾缝
6、包括按原竣工图纸要求完成本清单项工作内容的其他工作、工序内容。</t>
  </si>
  <si>
    <t>卫生间挡水条</t>
  </si>
  <si>
    <t>包括不限于：
1、拆除、垃圾清运
2、成品保护
3、30厚1:3干硬性水泥砂浆，40厚黑色人造石
4、勾缝
5、包括按原竣工图纸要求完成本清单项工作内容的其他工作、工序内容。</t>
  </si>
  <si>
    <t>主材为石材</t>
  </si>
  <si>
    <t>飘窗大理石更换（断裂、破损）</t>
  </si>
  <si>
    <t>包括不限于：
1、拆除、垃圾清运
2、成品保护
3、基层处理
4、20~30厚白灰色人造石窗台石
5、接缝打磨，打胶，收边收口
6、包括按原竣工图纸要求完成本清单项工作内容的其他工作、工序内容。</t>
  </si>
  <si>
    <t>主材为20~30厚白灰色人造石窗台石</t>
  </si>
  <si>
    <t>门槛石更换（断裂、破损）</t>
  </si>
  <si>
    <t>包括不限于：
1、拆除、垃圾清运
2、成品保护
3、30厚1:3干硬性水泥砂浆，10厚深灰色地砖
瓷砖铺贴
4、勾缝
5、包括按原竣工图纸要求完成本清单项工作内容的其他工作、工序内容。</t>
  </si>
  <si>
    <t>主材为大理石</t>
  </si>
  <si>
    <t>门槛石25公分宽</t>
  </si>
  <si>
    <t>石材开裂、空鼓、修补、打磨及美容</t>
  </si>
  <si>
    <t>包括不限于：
1、成品保护
2、打磨抛光、美容、收边收口
3、包括按原竣工图纸要求完成本清单项工作内容的其他工作、工序内容。</t>
  </si>
  <si>
    <t>修补剂</t>
  </si>
  <si>
    <t>厨房台面石材板更换（断裂、破损）</t>
  </si>
  <si>
    <t>包括不限于：
1、拆除、垃圾清运
2、成品保护
3、台面安装
4、台面打磨抛光
5、细部收边收口
6、台面14mm厚石材（色号：名尚雅士白），5mm高后挡水，前吊边4mm（小斜边挡边工艺）
7、包括按原竣工图纸要求完成本清单项工作内容的其他工作、工序内容。</t>
  </si>
  <si>
    <t>打胶收口</t>
  </si>
  <si>
    <t>包括不限于：
1、成品保护
2、恢复
3、包括按原竣工图纸要求完成本清单项工作内容的其他工作、工序内容。</t>
  </si>
  <si>
    <t>主材为建筑胶</t>
  </si>
  <si>
    <t>小计</t>
  </si>
  <si>
    <t>二、油漆类</t>
  </si>
  <si>
    <t>天花刷漆（污染、色差）-无机涂料</t>
  </si>
  <si>
    <t>包括不限于：
1、成品保护
2、腻子二道磨光
3、无机涂料二道，涂料燃烧性能为A级
4、包括按原竣工图纸要求完成本清单项工作内容的其他工作、工序内容。</t>
  </si>
  <si>
    <t>主材为腻子及无机涂料</t>
  </si>
  <si>
    <t>天花开裂、空鼓、不平等修复（含铲墙、挂网）-无机涂料</t>
  </si>
  <si>
    <t>隔墙板墙面开裂修补-无机涂料</t>
  </si>
  <si>
    <t>包括不限于：
1、铲除、垃圾清运
2、开槽、填补专业抗裂补强胶3遍，打磨2遍
3、成品保护
4、无机涂料涂刷（一底两面）
5、包括按原竣工图纸要求完成本清单项工作内容的其他工作、工序内容。</t>
  </si>
  <si>
    <t>内墙墙面刷漆（脱落、污染、色差、空鼓、不平等）-无机涂料</t>
  </si>
  <si>
    <t>包括不限于：
1、铲除、垃圾清运
2、成品保护
3、刮腻子两遍
4、无机涂料涂刷（一底两面）  
5、包括按原竣工图纸要求完成本清单项工作内容的其他工作、工序内容。</t>
  </si>
  <si>
    <t>天花刷漆（污染、色差）-乳胶漆</t>
  </si>
  <si>
    <t>包括不限于：
1、成品保护
2、刮腻子两遍，总厚度为1.5mm
3、乳胶漆涂刷（一底两面）
4、包括按原竣工图纸要求完成本清单项工作内容的其他工作、工序内容。</t>
  </si>
  <si>
    <t>主材为腻子及乳胶漆</t>
  </si>
  <si>
    <t>天花开裂、空鼓、不平等修复（含铲墙、挂网）-乳胶漆</t>
  </si>
  <si>
    <t>隔墙板墙面开裂修补-乳胶漆</t>
  </si>
  <si>
    <t>包括不限于：
1、铲除、垃圾清运
2、开槽、填补专业抗裂补强胶3遍，打磨2遍
3、成品保护
4、乳胶漆涂刷（一底两面）
5、包括按原竣工图纸要求完成本清单项工作内容的其他工作、工序内容。</t>
  </si>
  <si>
    <t>内墙墙面刷漆（脱落、污染、色差、空鼓、不平等）-乳胶漆</t>
  </si>
  <si>
    <t>包括不限于：
1、铲除、垃圾清运
2、成品保护
3、刮腻子两遍，总厚度为1.5mm
4、乳胶漆涂刷（一底两面）  
5、包括按原竣工图纸要求完成本清单项工作内容的其他工作、工序内容。</t>
  </si>
  <si>
    <t>三、门类</t>
  </si>
  <si>
    <t>室内门更换(含门框、门套及所有配件）</t>
  </si>
  <si>
    <t>包括不限于：
1、拆除、垃圾清运
2、成品保护
3、定位
4、安装
5、调试
6、收边收口
5、打玻璃胶
6、包括按原竣工图纸要求完成本清单项工作内容的其他工作、工序内容。</t>
  </si>
  <si>
    <t>樘</t>
  </si>
  <si>
    <t>主材为门框、门套</t>
  </si>
  <si>
    <t>室内门更换(合页)</t>
  </si>
  <si>
    <t>包括不限于：
1、拆除、垃圾清运
2、成品保护
3、定位
4、更换合页
5、包括按原竣工图纸要求完成本清单项工作内容的其他工作、工序内容。</t>
  </si>
  <si>
    <t>付</t>
  </si>
  <si>
    <t>主材为合页</t>
  </si>
  <si>
    <t>室内门更换(门吸)</t>
  </si>
  <si>
    <t>包括不限于：
1、拆除、垃圾清运
2、成品保护
3、定位
4、门吸
5、包括按原竣工图纸要求完成本清单项工作内容的其他工作、工序内容。</t>
  </si>
  <si>
    <t>扇</t>
  </si>
  <si>
    <t>主材为门吸</t>
  </si>
  <si>
    <t>室内门更换(执手)</t>
  </si>
  <si>
    <t>包括不限于：
1、拆除、垃圾清运
2、成品保护
3、定位
4、执手
5、包括按原竣工图纸要求完成本清单项工作内容的其他工作、工序内容。</t>
  </si>
  <si>
    <t>只</t>
  </si>
  <si>
    <t>主材为执手</t>
  </si>
  <si>
    <t>室内门更换(门锁)</t>
  </si>
  <si>
    <t>包括不限于：
1、拆除、垃圾清运
2、成品保护
3、定位
4、门锁
5、包括按原竣工图纸要求完成本清单项工作内容的其他工作、工序内容。</t>
  </si>
  <si>
    <t>把</t>
  </si>
  <si>
    <t>主材为门锁</t>
  </si>
  <si>
    <t>室内门美容打胶修补</t>
  </si>
  <si>
    <t>包括不限于：
1、成品保护
2、室内门美容打胶修补变形或划痕修复至原状
3、包括按原竣工图纸要求完成本清单项工作内容的其他工作、工序内容。</t>
  </si>
  <si>
    <t>入户门更换(含门框、门套及所有配件）</t>
  </si>
  <si>
    <t>包括不限于：
1、拆除、垃圾清运
2、成品保护
3、定位
4、安装
5、调试
6、收边收口
7、打玻璃胶
8、包括按原竣工图纸要求完成本清单项工作内容的其他工作、工序内容。</t>
  </si>
  <si>
    <t>入户门美容打胶修补</t>
  </si>
  <si>
    <t>包括不限于：
1、成品保护
2、入户门美容打胶修补变形或划痕修复至原状
3、包括按原竣工图纸要求完成本清单项工作内容的其他工作、工序内容。</t>
  </si>
  <si>
    <t>入户门更换(合页)</t>
  </si>
  <si>
    <t>入户门更换(猫眼)</t>
  </si>
  <si>
    <t>包括不限于：
1、拆除、垃圾清运
2、成品保护
3、定位
4、更换猫眼
5、包括按原竣工图纸要求完成本清单项工作内容的其他工作、工序内容。</t>
  </si>
  <si>
    <t>个</t>
  </si>
  <si>
    <t>主材为猫眼</t>
  </si>
  <si>
    <t>入户门更换(执手)</t>
  </si>
  <si>
    <t>入户门更换(门锁)</t>
  </si>
  <si>
    <t>四、卫具类</t>
  </si>
  <si>
    <t>卫生间镜面玻璃更换（断裂、破损）</t>
  </si>
  <si>
    <t>包括不限于：
1、拆除、垃圾清运
2、成品保护
3、定位
4、卫生间镜面玻璃更换
5、包括按原竣工图纸要求完成本清单项工作内容的其他工作、工序内容。</t>
  </si>
  <si>
    <t>主材为镜面玻璃</t>
  </si>
  <si>
    <t>洗手台台面石更换</t>
  </si>
  <si>
    <t>包括不限于：
1、拆除、垃圾清运
2、成品保护
3、定位
4、按柜体中心线延长米计算；含拆除原柜、安装、打胶、材料费等所有费用；材质：综合考虑，不低于交房标准。</t>
  </si>
  <si>
    <t>主材为台面石</t>
  </si>
  <si>
    <t>洗手台台下柜更换</t>
  </si>
  <si>
    <t>包括不限于：
1、拆除、垃圾清运
2、成品保护
3、定位
4、洗手台台下柜更换
5、包括按原竣工图纸要求完成本清单项工作内容的其他工作、工序内容。</t>
  </si>
  <si>
    <t>主材为台下柜</t>
  </si>
  <si>
    <t>更换马桶</t>
  </si>
  <si>
    <r>
      <rPr>
        <sz val="10"/>
        <color theme="1"/>
        <rFont val="宋体"/>
        <charset val="134"/>
      </rPr>
      <t>包括不限于：</t>
    </r>
    <r>
      <rPr>
        <sz val="10"/>
        <color rgb="FF000000"/>
        <rFont val="宋体"/>
        <charset val="134"/>
        <scheme val="minor"/>
      </rPr>
      <t xml:space="preserve">
1、原马桶拆除、垃圾清运
2、新马桶组装、固定、调试
3、打胶、收边收口
4、成品保护
5、包括为完成本清单项工作内容的其他工作、工序内容</t>
    </r>
  </si>
  <si>
    <t>套</t>
  </si>
  <si>
    <t>主材为马桶</t>
  </si>
  <si>
    <t>合同价</t>
  </si>
  <si>
    <t>马桶按钮及下水器更换</t>
  </si>
  <si>
    <r>
      <rPr>
        <sz val="10"/>
        <color theme="1"/>
        <rFont val="宋体"/>
        <charset val="134"/>
      </rPr>
      <t>包括不限于：</t>
    </r>
    <r>
      <rPr>
        <sz val="10"/>
        <color rgb="FF000000"/>
        <rFont val="宋体"/>
        <charset val="134"/>
        <scheme val="minor"/>
      </rPr>
      <t xml:space="preserve">
1、原马桶按钮及下水器拆除、垃圾清运
2、新马桶按钮及下水器组装、固定、调试
3、成品保护
4、包括为完成本清单项工作内容的其他工作、工序内容</t>
    </r>
  </si>
  <si>
    <t>主材为马桶按钮及下水器</t>
  </si>
  <si>
    <t>市场询价</t>
  </si>
  <si>
    <t>普通水龙头更换</t>
  </si>
  <si>
    <r>
      <rPr>
        <sz val="10"/>
        <color theme="1"/>
        <rFont val="宋体"/>
        <charset val="134"/>
      </rPr>
      <t>包括不限于：</t>
    </r>
    <r>
      <rPr>
        <sz val="10"/>
        <color rgb="FF000000"/>
        <rFont val="宋体"/>
        <charset val="134"/>
        <scheme val="minor"/>
      </rPr>
      <t xml:space="preserve">
1、原普通水龙头拆除、垃圾清运
2、新普通水龙头安装、与上水管连接、试水
3、成品保护
4、包括为完成本清单项工作内容的其他工作、工序内容</t>
    </r>
  </si>
  <si>
    <t>主材为普通水龙头</t>
  </si>
  <si>
    <t>洗菜盆龙头更换</t>
  </si>
  <si>
    <r>
      <rPr>
        <sz val="10"/>
        <color theme="1"/>
        <rFont val="宋体"/>
        <charset val="134"/>
      </rPr>
      <t>包括不限于：</t>
    </r>
    <r>
      <rPr>
        <sz val="10"/>
        <color rgb="FF000000"/>
        <rFont val="宋体"/>
        <charset val="134"/>
        <scheme val="minor"/>
      </rPr>
      <t xml:space="preserve">
1、原洗菜盆龙头拆除、垃圾清运
2、新洗菜盆龙头安装、与上水管连接、试水
3、成品保护
4、包括为完成本清单项工作内容的其他工作、工序内容</t>
    </r>
  </si>
  <si>
    <t>主材为洗菜盆龙头</t>
  </si>
  <si>
    <t>浴室柜龙头更换</t>
  </si>
  <si>
    <r>
      <rPr>
        <sz val="10"/>
        <color theme="1"/>
        <rFont val="宋体"/>
        <charset val="134"/>
      </rPr>
      <t>包括不限于：</t>
    </r>
    <r>
      <rPr>
        <sz val="10"/>
        <color rgb="FF000000"/>
        <rFont val="宋体"/>
        <charset val="134"/>
        <scheme val="minor"/>
      </rPr>
      <t xml:space="preserve">
1、原浴室柜龙头拆除、垃圾清运
2、新浴室柜龙头安装、与上水管连接、试水
3、成品保护
4、包括为完成本清单项工作内容的其他工作、工序内容</t>
    </r>
  </si>
  <si>
    <t>主材为浴室柜龙头</t>
  </si>
  <si>
    <t>更换淋浴间花洒</t>
  </si>
  <si>
    <r>
      <rPr>
        <sz val="10"/>
        <color theme="1"/>
        <rFont val="宋体"/>
        <charset val="134"/>
      </rPr>
      <t>包括但不限于：</t>
    </r>
    <r>
      <rPr>
        <sz val="10"/>
        <color rgb="FF000000"/>
        <rFont val="宋体"/>
        <charset val="134"/>
        <scheme val="minor"/>
      </rPr>
      <t xml:space="preserve">
1、拆除、安装（计主材及安装费，不低于交房标准）
2、成品保护
3、恢复
4、包括为完成本清单项工作内容的其他工作、工艺内容</t>
    </r>
  </si>
  <si>
    <t>主材为淋浴间花洒</t>
  </si>
  <si>
    <t>厨卫下水管道更换</t>
  </si>
  <si>
    <r>
      <rPr>
        <sz val="10"/>
        <color theme="1"/>
        <rFont val="宋体"/>
        <charset val="134"/>
      </rPr>
      <t>包括不限于：</t>
    </r>
    <r>
      <rPr>
        <sz val="10"/>
        <color rgb="FF000000"/>
        <rFont val="宋体"/>
        <charset val="134"/>
        <scheme val="minor"/>
      </rPr>
      <t xml:space="preserve">
1、原厨卫下水管道拆除、垃圾清运
2、新厨卫下水管道安装、与上水管连接、试水
3、成品保护
4、包括为完成本清单项工作内容的其他工作、工序内容</t>
    </r>
  </si>
  <si>
    <t>主材为厨卫下水管道</t>
  </si>
  <si>
    <t>地漏更换</t>
  </si>
  <si>
    <t>主材为不锈钢地漏</t>
  </si>
  <si>
    <t>更换燃气灶打火器</t>
  </si>
  <si>
    <t>主材为燃气灶打火器</t>
  </si>
  <si>
    <t>三角阀更换</t>
  </si>
  <si>
    <t>主材为三角阀</t>
  </si>
  <si>
    <t>角阀、水龙头生锈维修</t>
  </si>
  <si>
    <r>
      <rPr>
        <sz val="10"/>
        <color theme="1"/>
        <rFont val="宋体"/>
        <charset val="134"/>
      </rPr>
      <t>包括不限于：</t>
    </r>
    <r>
      <rPr>
        <sz val="10"/>
        <color rgb="FF000000"/>
        <rFont val="宋体"/>
        <charset val="134"/>
        <scheme val="minor"/>
      </rPr>
      <t xml:space="preserve">
1、除锈、并清洁表面
2、刷油
3、成品保护
4、包括为完成本清单项工作内容的其他工作、工序内容</t>
    </r>
  </si>
  <si>
    <t>人工</t>
  </si>
  <si>
    <t>地漏疏通</t>
  </si>
  <si>
    <r>
      <rPr>
        <sz val="10"/>
        <color theme="1"/>
        <rFont val="宋体"/>
        <charset val="134"/>
      </rPr>
      <t>包括但不限于：</t>
    </r>
    <r>
      <rPr>
        <sz val="10"/>
        <color rgb="FF000000"/>
        <rFont val="宋体"/>
        <charset val="134"/>
        <scheme val="minor"/>
      </rPr>
      <t xml:space="preserve">
1、地漏疏通
2、成品保护
3、恢复
4、包括为完成本清单项工作内容的其他工作、工艺内容</t>
    </r>
  </si>
  <si>
    <t>马桶疏通（堵塞）</t>
  </si>
  <si>
    <r>
      <rPr>
        <sz val="10"/>
        <color theme="1"/>
        <rFont val="宋体"/>
        <charset val="134"/>
      </rPr>
      <t>包括但不限于：</t>
    </r>
    <r>
      <rPr>
        <sz val="10"/>
        <color rgb="FF000000"/>
        <rFont val="宋体"/>
        <charset val="134"/>
        <scheme val="minor"/>
      </rPr>
      <t xml:space="preserve">
1、马桶疏通（堵塞）
2、成品保护
3、恢复
4、包括为完成本清单项工作内容的其他工作、工艺内容</t>
    </r>
  </si>
  <si>
    <t>排污下水支管道疏通</t>
  </si>
  <si>
    <r>
      <rPr>
        <sz val="10"/>
        <color theme="1"/>
        <rFont val="宋体"/>
        <charset val="134"/>
      </rPr>
      <t>包括但不限于：</t>
    </r>
    <r>
      <rPr>
        <sz val="10"/>
        <color rgb="FF000000"/>
        <rFont val="宋体"/>
        <charset val="134"/>
        <scheme val="minor"/>
      </rPr>
      <t xml:space="preserve">
1、排污下水支管道疏通
2、成品保护
3、恢复
4、包括为完成本清单项工作内容的其他工作、工艺内容</t>
    </r>
  </si>
  <si>
    <t>次</t>
  </si>
  <si>
    <t>排污下水主管道疏通</t>
  </si>
  <si>
    <r>
      <rPr>
        <sz val="10"/>
        <color theme="1"/>
        <rFont val="宋体"/>
        <charset val="134"/>
      </rPr>
      <t>包括但不限于：</t>
    </r>
    <r>
      <rPr>
        <sz val="10"/>
        <color rgb="FF000000"/>
        <rFont val="宋体"/>
        <charset val="134"/>
        <scheme val="minor"/>
      </rPr>
      <t xml:space="preserve">
1、排污下水主管道疏通
2、成品保护
3、恢复
4、包括为完成本清单项工作内容的其他工作、工艺内容</t>
    </r>
  </si>
  <si>
    <t>管道打压</t>
  </si>
  <si>
    <t>包括不限于：
1、加压、保压、停压检查等
2、成品保护
3、包括按原竣工图纸要求完成本清单项工作内容的其他工作、工序内容。</t>
  </si>
  <si>
    <t>五、灯具、开关插座及智能化类</t>
  </si>
  <si>
    <t>户内配电箱空开更换</t>
  </si>
  <si>
    <t>包括但不限于：
1、拆除、安装
2、成品保护
3、恢复
4、包括为完成本清单项工作内容的其他工作、工艺内容</t>
  </si>
  <si>
    <t>主材为空开</t>
  </si>
  <si>
    <t>强弱电箱盖板安装</t>
  </si>
  <si>
    <t>包括不限于：
1、拆除、垃圾清运
2、成品保护
3、恢复  
4、包括按原竣工图纸要求完成本清单项工作内容的其他工作、工序内容。</t>
  </si>
  <si>
    <t>主材为强弱电箱盖板</t>
  </si>
  <si>
    <t>卧室吸顶灯更换</t>
  </si>
  <si>
    <t>包括不限于：
1、原灯具拆除、垃圾清运
2、新灯具安装、试灯
3、成品保护
4、包括为完成本清单项工作内容的其他工作、工序内容</t>
  </si>
  <si>
    <t>主材为卧室吸顶灯</t>
  </si>
  <si>
    <t>客厅吸顶灯更换</t>
  </si>
  <si>
    <t>主材为客厅吸顶灯</t>
  </si>
  <si>
    <t>阳台吸顶灯更换</t>
  </si>
  <si>
    <t>主材为阳台吸顶灯</t>
  </si>
  <si>
    <t>厨卫灯盘更换</t>
  </si>
  <si>
    <t>主材为厨卫灯盘</t>
  </si>
  <si>
    <t>明装筒灯更换</t>
  </si>
  <si>
    <t>主材为明装筒灯</t>
  </si>
  <si>
    <t>嵌入式筒灯更换</t>
  </si>
  <si>
    <t>主材为嵌入式筒灯</t>
  </si>
  <si>
    <t>小夜灯更换</t>
  </si>
  <si>
    <t>主材为小夜灯</t>
  </si>
  <si>
    <t>开关、插座、应急按钮、空白面板移位及更换（包括强电、弱电、防水扣板）</t>
  </si>
  <si>
    <t>包括不限于：
1、原开关、插座、空白面板拆除、垃圾清运
2、新开关、插座、空白面板安装、通电测试
3、成品保护
4、包括为完成本清单项工作内容的其他工作、工序内容</t>
  </si>
  <si>
    <t>主材为开关、插座、应急按钮、空白面板</t>
  </si>
  <si>
    <t>开关插座调试（松动、收边收口、缝隙大）</t>
  </si>
  <si>
    <t>包括不限于：
1、开关插座调试（松动、收边收口、缝隙大）
2、垃圾清理
3、成品保护
4、包括为完成本清单项工作内容的其他工作、工序内容</t>
  </si>
  <si>
    <t>处</t>
  </si>
  <si>
    <t>无主材</t>
  </si>
  <si>
    <t>可视对讲户内分机更换</t>
  </si>
  <si>
    <t>包括但不限于：
1、拆除、安装（计主材及安装费，不低于交房标准）
2、成品保护
3、恢复
4、包括为完成本清单项工作内容的其他工作、工艺内容</t>
  </si>
  <si>
    <t>主材为可视对讲户内分机</t>
  </si>
  <si>
    <t>燃气泄漏报警探测器更换</t>
  </si>
  <si>
    <t>主材为燃气泄漏报警探测器</t>
  </si>
  <si>
    <t>电路检查（室内没电）</t>
  </si>
  <si>
    <t>包括不限于：
1、电路短路、断路等各故障检查
2、找到故障、并排除故障
3、成品保护
4、包括为完成本清单项工作内容的其他工作、工序内容</t>
  </si>
  <si>
    <t>次x户</t>
  </si>
  <si>
    <t>强弱电线路维修调试</t>
  </si>
  <si>
    <t>包括不限于：
1、原线路拆除、垃圾清运
2、新线路敷设、通电测试
3、成品保护
4、包括为完成本清单项工作内容的其他工作、工序内容</t>
  </si>
  <si>
    <t>含线管</t>
  </si>
  <si>
    <t>六、铝合金门窗类</t>
  </si>
  <si>
    <t>铝合金门窗开关、把手更换</t>
  </si>
  <si>
    <t>包括不限于：
1、拆除、垃圾清运
2、成品保护
3、定位
4、更换开关、把手
5、包括按原竣工图纸要求完成本清单项工作内容的其他工作、工序内容。</t>
  </si>
  <si>
    <t>主材为铝合金门窗开关、把手</t>
  </si>
  <si>
    <t>铝合金门窗打胶</t>
  </si>
  <si>
    <t>包括不限于：
1、成品保护
2、铝合金门窗打胶
3、包括按原竣工图纸要求完成本清单项工作内容的其他工作、工序内容。</t>
  </si>
  <si>
    <t>主材为胶</t>
  </si>
  <si>
    <t>铝合金门窗铰链除锈</t>
  </si>
  <si>
    <t>包括不限于：
1、成品保护
2、铝合金窗铰链除锈
3、包括按原竣工图纸要求完成本清单项工作内容的其他工作、工序内容。</t>
  </si>
  <si>
    <t>铝合金门窗铰链修复</t>
  </si>
  <si>
    <t>包括不限于：
1、成品保护
2、铝合金门窗铰链损坏更换
3、包括按原竣工图纸要求完成本清单项工作内容的其他工作、工序内容。</t>
  </si>
  <si>
    <t>主材为铰链</t>
  </si>
  <si>
    <t>铝合金门窗玻璃划痕美容等可修复处理</t>
  </si>
  <si>
    <t>包括不限于：
1、成品保护
2、铝合金门窗玻璃划痕美容等处理
3、包括按原竣工图纸要求完成本清单项工作内容的其他工作、工序内容。</t>
  </si>
  <si>
    <t>铝合金门窗框变形无法修复</t>
  </si>
  <si>
    <t>包括不限于：
1、成品保护
2、根据原状进行更换、包含门锁、玻璃、门窗周边墙面破损修复等处理
3、包括按原竣工图纸要求完成本清单项工作内容的其他工作、工序内容。</t>
  </si>
  <si>
    <t>铝合金窗户磁吸式百叶</t>
  </si>
  <si>
    <t>包括不限于：
1、拆除、垃圾清运
2、成品保护
3、定位
4、铝合金窗户磁吸式百叶更换
5、包括按原竣工图纸要求完成本清单项工作内容的其他工作、工序内容。</t>
  </si>
  <si>
    <t>主材为磁吸式百叶</t>
  </si>
  <si>
    <t>综合类调试处理（异响、关不上、导轨变形、松动、收边收口、缝隙大、开关不灵活）</t>
  </si>
  <si>
    <t>包括不限于：
1、拆除、垃圾清运
2、成品保护
3、定位
4、更换小配件
5、包括按原竣工图纸要求完成本清单项工作内容的其他工作、工序内容。</t>
  </si>
  <si>
    <t>主材为小配件</t>
  </si>
  <si>
    <t>铝合金玻璃栏板</t>
  </si>
  <si>
    <t>包括不限于：
1、拆除、垃圾清运
2、成品保护
3、定位
4、铝合金玻璃栏板更换
5、包括按原竣工图纸要求完成本清单项工作内容的其他工作、工序内容。</t>
  </si>
  <si>
    <t>主材为玻璃栏板</t>
  </si>
  <si>
    <t>铝合金门更换（仅玻璃）</t>
  </si>
  <si>
    <t>包括不限于：
1、拆除、垃圾清运
2、成品保护
3、定位
4、铝合金门玻璃更换（6mm厚普通透明钢化玻璃）
5、包括按原竣工图纸要求完成本清单项工作内容的其他工作、工序内容。</t>
  </si>
  <si>
    <t>主材为铝合金门玻璃更换（6mm厚普通透明钢化玻璃）</t>
  </si>
  <si>
    <t>包括不限于：
1、拆除、垃圾清运
2、成品保护
3、定位
4、铝合金门玻璃更换（5+9A+5双钢 中空白玻）
5、包括按原竣工图纸要求完成本清单项工作内容的其他工作、工序内容。</t>
  </si>
  <si>
    <t>主材为铝合金门玻璃更换（5+9A+5双钢 中空白玻）</t>
  </si>
  <si>
    <t>铝合金窗更换（仅玻璃）</t>
  </si>
  <si>
    <t>包括不限于：
1、拆除、垃圾清运
2、成品保护
3、定位
4、铝合金门玻璃更换（5白+9A+5磨砂双钢中空玻璃）
5、包括按原竣工图纸要求完成本清单项工作内容的其他工作、工序内容。</t>
  </si>
  <si>
    <t>主材为铝合金窗玻璃</t>
  </si>
  <si>
    <t>包括不限于：
1、拆除、垃圾清运
2、成品保护
3、定位
4、铝合金窗玻璃更换（5mm厚普通透明钢化玻璃）
5、包括按原竣工图纸要求完成本清单项工作内容的其他工作、工序内容。</t>
  </si>
  <si>
    <t>主材为5mm厚普通透明钢化玻璃</t>
  </si>
  <si>
    <t>锌钢栏杆更换</t>
  </si>
  <si>
    <t>包括不限于：
1、拆除、垃圾清运
2、成品保护
3、定位
4、空调板处：φ60x3钢管立柱、φ30或矩形钢26、φ60x3钢管扶手；
生活阳台处：φ30x30x2方钢管@140，木扶手
5、包括按原竣工图纸要求完成本清单项工作内容的其他工作、工序内容。</t>
  </si>
  <si>
    <t>主材为锌钢栏杆</t>
  </si>
  <si>
    <t>锌钢栏杆局部维修</t>
  </si>
  <si>
    <t>七、渗漏水修复类</t>
  </si>
  <si>
    <t>1.卫生间沉箱渗水</t>
  </si>
  <si>
    <t>拆除地砖及砂浆层</t>
  </si>
  <si>
    <t>包括不限于：
1、拆除、垃圾清运
2、包括按原竣工图纸要求完成本清单项工作内容的其他工作、工序内容。</t>
  </si>
  <si>
    <t>凿除沉箱顶部保护层</t>
  </si>
  <si>
    <t>卫生间沉箱清掏（陶粒、粉煤灰等）</t>
  </si>
  <si>
    <t>防水层拆除</t>
  </si>
  <si>
    <t>包括不限于：
1、铲除原防水涂料
2、垃圾清运
3、成品保护
4、包括按原竣工图纸要求完成本清单项工作内容的其他工作、工序内容。</t>
  </si>
  <si>
    <t>地面柔性防水涂刷（基层处理、1.5厚防水层涂刷、涂刷两道，第一道干燥后垂直涂刷第二道，总厚度1.5厚，且含24小时闭水试验合格）</t>
  </si>
  <si>
    <t>包括不限于：
1、基层清理
2、1.5厚防水层涂刷、涂刷两道，第一道干燥后垂直涂刷第二道，总厚度1.5厚
3、包括按原竣工图纸要求完成本清单项工作内容的其他工作、工序内容。</t>
  </si>
  <si>
    <t>主材为1.5厚防水层涂刷</t>
  </si>
  <si>
    <t>20厚1:2.5水泥砂浆找平及找坡</t>
  </si>
  <si>
    <t>包括不限于：
1、20厚1:2.5水泥砂浆找平及找坡
3、洒水养护
4、包括按原竣工图纸要求完成本清单项工作内容的其他工作、工序内容。</t>
  </si>
  <si>
    <t>主材为水泥砂浆</t>
  </si>
  <si>
    <t>洗手间沉箱轻骨料混凝土回填层</t>
  </si>
  <si>
    <t>包括不限于：
1、轻骨料混凝土回填层
2、回填
3、包括按原竣工图纸要求完成本清单项工作内容的其他工作、工序内容。</t>
  </si>
  <si>
    <t>m3</t>
  </si>
  <si>
    <t>主材为轻骨料混凝土回填层</t>
  </si>
  <si>
    <t>地砖铺贴（1:3干铺砂浆、瓷砖铺贴、勾缝）</t>
  </si>
  <si>
    <t>包括不限于：
1、成品保护
2、1:3干铺砂浆
3、勾缝
4、包括按原竣工图纸要求完成本清单项工作内容的其他工作、工序内容。</t>
  </si>
  <si>
    <t>主材为地砖</t>
  </si>
  <si>
    <t>2.卫生间侧渗</t>
  </si>
  <si>
    <t>拆除浴柜</t>
  </si>
  <si>
    <t>包括不限于：
1、拆除、垃圾清运
2、成品保护
3、包括按原竣工图纸要求完成本清单项工作内容的其他工作、工序内容。</t>
  </si>
  <si>
    <t>拆除铝合金门及门套</t>
  </si>
  <si>
    <t>包括不限于：
1、拆除、垃圾清运
2、组装、固定、调试
3、成品保护
4、包括按原竣工图纸要求完成本清单项工作内容的其他工作、工序内容。</t>
  </si>
  <si>
    <t>拆除卫生间四周地砖、门槛石及墙砖</t>
  </si>
  <si>
    <t>防水堵漏</t>
  </si>
  <si>
    <t>包括不限于：
1、清理基层
2、堵漏王堵漏
3、成品保护
4、包括按原竣工图纸要求完成本清单项工作内容的其他工作、工序内容。</t>
  </si>
  <si>
    <t>主材为防水堵漏王</t>
  </si>
  <si>
    <t>满刷JS或聚氨酯2～3遍</t>
  </si>
  <si>
    <t>包括不限于：
1、基层清理
2、满刷JS或聚氨酯2～3遍
3、闭水实验
4、包括按原竣工图纸要求完成本清单项工作内容的其他工作、工序内容。</t>
  </si>
  <si>
    <t>主材为满刷JS或聚氨酯2～3遍</t>
  </si>
  <si>
    <t>3.管道渗漏水</t>
  </si>
  <si>
    <t>包括不限于：
1、成品保护
2、30厚1:3干硬性水泥砂浆
3、勾缝
4、包括按原竣工图纸要求完成本清单项工作内容的其他工作、工序内容。</t>
  </si>
  <si>
    <t>主材为砂浆</t>
  </si>
  <si>
    <t>给水管打压，查找漏点</t>
  </si>
  <si>
    <t>管道补接（热熔）</t>
  </si>
  <si>
    <t>包括不限于：
1、原管道切断
2、管道重新熔接
3、成品保护
4、包括按原竣工图纸要求完成本清单项工作内容的其他工作、工序内容。</t>
  </si>
  <si>
    <t>主材为管道</t>
  </si>
  <si>
    <t>二次打压</t>
  </si>
  <si>
    <t>4.阳台</t>
  </si>
  <si>
    <t>20mm厚1:3水泥砂浆保护层找坡</t>
  </si>
  <si>
    <t>包括不限于：
1、20厚1:3水泥砂浆找坡兼找平
3、洒水养护
4、包括按原竣工图纸要求完成本清单项工作内容的其他工作、工序内容。</t>
  </si>
  <si>
    <t>包括不限于：
1、成品保护
2、20厚干硬性水泥砂浆表面撒1-2厚干水泥并洒清水适量
3、勾缝
4、包括按原竣工图纸要求完成本清单项工作内容的其他工作、工序内容。</t>
  </si>
  <si>
    <t>铲除天花返碱部位腻子及基层</t>
  </si>
  <si>
    <t>包括不限于：
1、铲除、垃圾清运
2、成品保护
3、刮腻子两遍，总厚度为1.5mm
4、防水无机涂料（一底两面）  
5、包括按原竣工图纸要求完成本清单项工作内容的其他工作、工序内容。</t>
  </si>
  <si>
    <t>5.天花裂缝渗漏水</t>
  </si>
  <si>
    <t>沿裂缝打凿V型槽。深约20mm，宽约20mm。用水清理洗净</t>
  </si>
  <si>
    <t>包括不限于：
1、清理基层
2、打槽
3、包括按原竣工图纸要求完成本清单项工作内容的其他工作、工序内容。</t>
  </si>
  <si>
    <t>注浆,要求密实，平整，无裂纹</t>
  </si>
  <si>
    <t>包括不限于：1、清理基层
2、打槽
3、包括按原竣工图纸要求完成本清单项工作内容的其他工作、工序内容。</t>
  </si>
  <si>
    <t>主材为注浆</t>
  </si>
  <si>
    <t>渗漏点补平</t>
  </si>
  <si>
    <t>1.包括不限于:
2.清理基层
3.打槽
4.包括按原竣工图纸要求完成本清单项工作内容的其他工作、工序内容。</t>
  </si>
  <si>
    <t>点</t>
  </si>
  <si>
    <t>批灰、打磨、刷漆</t>
  </si>
  <si>
    <t>包括不限于：
1、清理基层
2、成品保护
3、刮腻子两遍
4、防水无机涂料（一底两面）  
5、包括按原竣工图纸要求完成本清单项工作内容的其他工作、工序内容。</t>
  </si>
  <si>
    <t>主材为防水无机涂料</t>
  </si>
  <si>
    <t>6.墙体返碱</t>
  </si>
  <si>
    <t>铲除泛碱隔墙墙体表层至结构层</t>
  </si>
  <si>
    <t>包括不限于：
1、铲除、垃圾清运
2、包括按原竣工图纸要求完成本清单项工作内容的其他工作、工序内容。</t>
  </si>
  <si>
    <t>用5%-10%浓度草酸加60℃左右温水调和，涂刷在泛碱墙面，充分中和墙体碱性。待反应完成后，用清水完全清洗，充分干燥</t>
  </si>
  <si>
    <t>包括不限于：
1、清理基层
2、涂刷
3、包括按原竣工图纸要求完成本清单项工作内容的其他工作、工序内容。</t>
  </si>
  <si>
    <t>主材为5%-10%浓度草酸</t>
  </si>
  <si>
    <t>墙面批荡</t>
  </si>
  <si>
    <t>包括不限于：
1、清理基层
2、不分底和面，抹灰道数、配合比综合考虑
3、垃圾清理
4、包括按原竣工图纸要求完成本清单项工作内容的其他工作、工序内容。</t>
  </si>
  <si>
    <t>包括不限于：
1、清理基层
2、成品保护
3、刮腻子两遍
4、乳胶漆涂刷（一底两面）
5、包括按原竣工图纸要求完成本清单项工作内容的其他工作、工序内容。</t>
  </si>
  <si>
    <t>7.窗边渗水</t>
  </si>
  <si>
    <t>窗边外侧涂刷透明防水胶（含淋水试验合格）</t>
  </si>
  <si>
    <t>包括不限于：
1、成品保护
2、涂刷透明防水胶
3、包括按原竣工图纸要求完成本清单项工作内容的其他工作、工序内容。</t>
  </si>
  <si>
    <t>主材为透明防水胶</t>
  </si>
  <si>
    <t>铲除窗边内侧返碱部位腻子及基层</t>
  </si>
  <si>
    <t>包括不限于：
1、清理基层
2、成品保护
3、刮腻子两遍，总厚度为1.5mm
4、乳胶漆涂刷（一底两面）
5、包括按原竣工图纸要求完成本清单项工作内容的其他工作、工序内容。</t>
  </si>
  <si>
    <t>8.外墙渗水</t>
  </si>
  <si>
    <t>铲除外墙漆及腻子基层</t>
  </si>
  <si>
    <t>注浆、铲除、清理等（要求密实，平整，无裂纹）</t>
  </si>
  <si>
    <t>包括不限于：
1、注浆、铲除、清理等（要求密实，平整，无裂纹）
2、包括按原竣工图纸要求完成本清单项工作内容的其他工作、工序内容。</t>
  </si>
  <si>
    <t>5厚抗裂砂浆+双层耐碱玻纤网格布),用塑料锚栓与基层锚固</t>
  </si>
  <si>
    <t>包括不限于：
1、清理基层
2.5厚抗裂砂浆+双层耐碱玻纤网格布
3、塑料锚栓锚固
4、包括按原竣工图纸要求完成本清单项工作内容的其他工作、工序内容。</t>
  </si>
  <si>
    <t>主材为5厚抗裂砂浆+双层耐碱玻纤网格布</t>
  </si>
  <si>
    <t>包括不限于：
1、清理基层
2、成品保护
3、真石漆涂刷（一底两面）
4、包括按原竣工图纸要求完成本清单项工作内容的其他工作、工序内容。</t>
  </si>
  <si>
    <t>主材为真石漆</t>
  </si>
  <si>
    <t>小计（1+2+3+4+5+6+7+8）</t>
  </si>
  <si>
    <t>八、其他类</t>
  </si>
  <si>
    <t>橱柜门板更换（含拆除原柜、打胶等）</t>
  </si>
  <si>
    <t>包括不限于：
1、拆除柜门、垃圾清运
2、更换柜门、打胶等
3、包括按原竣工图纸要求完成本清单项工作内容的其他工作、工序内容。</t>
  </si>
  <si>
    <t>主材为橱柜门板</t>
  </si>
  <si>
    <t>橱柜门更换（合页）</t>
  </si>
  <si>
    <t>砌筑墙体拆除</t>
  </si>
  <si>
    <t>包括不限于：
1、墙砖及原结合层拆除，含垃圾清理外运
2、成品保护
3、定位
4、包括按原竣工图纸要求完成本清单项工作内容的其他工作、工序内容。</t>
  </si>
  <si>
    <t>混凝土墙体拆除</t>
  </si>
  <si>
    <t>墙体砌筑</t>
  </si>
  <si>
    <t>1、墙体类型：砌砖墙(墙厚＜20cm)
2、砂浆强度等级、配合比：M5.0～M7.5专用砌筑砂浆
3、综合考虑加气混凝土砌块及灰砂砖</t>
  </si>
  <si>
    <t>1、墙体类型：砌砖墙(墙厚≥20cm)
2、砂浆强度等级、配合比：M5.0～M7.5专用砌筑砂浆
3、综合考虑加气混凝土砌块及灰砂砖</t>
  </si>
  <si>
    <t>墙面抹灰</t>
  </si>
  <si>
    <t>20MM厚：水泥砂浆</t>
  </si>
  <si>
    <t>厨房卫生间吊顶整体更换</t>
  </si>
  <si>
    <t>包括不限于：
1、拆除、垃圾清运
2、成品保护
3、定位
4、厨房卫生间吊顶整体更换
5、包括按原竣工图纸要求完成本清单项工作内容的其他工作、工序内容。</t>
  </si>
  <si>
    <t>主材为厨房卫生间吊顶</t>
  </si>
  <si>
    <t>九、公区类</t>
  </si>
  <si>
    <t>公区桥架除锈</t>
  </si>
  <si>
    <t>包括不限于：
1、除锈、并清洁表面
2、刷油
3、成品保护
4、包括为完成本清单项工作内容的其他工作、工序内容</t>
  </si>
  <si>
    <t>公区桥架吊杆更换</t>
  </si>
  <si>
    <t>1、桥架吊杆更换
2、材质:圆钢、扁钢、角钢(综合)
3、成品保护
4、包括为完成本清单项工作内容的其他工作、工序内容</t>
  </si>
  <si>
    <t>根</t>
  </si>
  <si>
    <t>主材为桥架吊杆，不分规格</t>
  </si>
  <si>
    <t>公区桥架吊杆除锈养护</t>
  </si>
  <si>
    <t>公区消防门锁更换</t>
  </si>
  <si>
    <t>公区消防门更换</t>
  </si>
  <si>
    <t>包括不限于：
1、消防门维修或更换
2、成品保护
3、乙级钢质防火门
4、包括按原竣工图纸要求完成本清单项工作内容的其他工作、工序内容。</t>
  </si>
  <si>
    <t>乙级钢质防火门</t>
  </si>
  <si>
    <t>公区消防门除锈</t>
  </si>
  <si>
    <t>主材为除锈剂</t>
  </si>
  <si>
    <t>室外雨污水疏通</t>
  </si>
  <si>
    <t>包括不限于：
1、排污管疏通及垃圾清理
2、冲水试验，并满足规范要求
3、成品保护
4、包括为完成本清单项工作内容的其他工作、工序内容</t>
  </si>
  <si>
    <t>水泵维修调试</t>
  </si>
  <si>
    <t>包括但不限于：
1、维修调试
2、成品保护
3、恢复
4、包括为完成本清单项工作内容的其他工作、工艺内容</t>
  </si>
  <si>
    <t>参考海南省17安装定额</t>
  </si>
  <si>
    <t>监控交换机更换</t>
  </si>
  <si>
    <t>包括不限于：
1、原有设备拆除
2、新设备安装、调试
3、成品保护
4、包括为完成本清单项工作内容的其他工作、工序内容</t>
  </si>
  <si>
    <t>台</t>
  </si>
  <si>
    <t>主材为监控交换机</t>
  </si>
  <si>
    <t>监控摄像头更换</t>
  </si>
  <si>
    <t>1、原有设备拆除
2、新设备安装、调试
3、成品保护
4、包括为完成本清单项工作内容的其他工作、工序内容</t>
  </si>
  <si>
    <t>主材为监控摄像头</t>
  </si>
  <si>
    <t>水表更换</t>
  </si>
  <si>
    <t>包括不限于:
1、拆除、安装、调试；
2、包括为完成本清单项工作内容的其他工作、工序内容</t>
  </si>
  <si>
    <t>主材为入户水表</t>
  </si>
  <si>
    <t>消防应急灯具更换</t>
  </si>
  <si>
    <t>主材为消防应急灯具</t>
  </si>
  <si>
    <t>消火栓箱门更换</t>
  </si>
  <si>
    <t>包括但不限于：
1、拆除
2、成品保护
3、恢复
4、包括为完成本清单项工作内容的其他工作、工艺内容</t>
  </si>
  <si>
    <t>主材为消火栓箱门</t>
  </si>
  <si>
    <t>百叶更换</t>
  </si>
  <si>
    <t>㎡</t>
  </si>
  <si>
    <t>主材为百叶</t>
  </si>
  <si>
    <t>通风排气扇更换</t>
  </si>
  <si>
    <t>主材为通风排气扇</t>
  </si>
  <si>
    <t>水电井渗漏封堵</t>
  </si>
  <si>
    <t>十、商业楼类</t>
  </si>
  <si>
    <t>商业玻璃栏杆更换</t>
  </si>
  <si>
    <t>主材为玻璃栏杆</t>
  </si>
  <si>
    <t>商业地弹门更换</t>
  </si>
  <si>
    <t>包括不限于：
1、拆除、垃圾清运
2、成品保护
3、定位
4、地弹门更换
5、包括按原竣工图纸要求完成本清单项工作内容的其他工作、工序内容。</t>
  </si>
  <si>
    <t>主材为地弹门</t>
  </si>
  <si>
    <t>商业窗户玻璃更换</t>
  </si>
  <si>
    <t>包括不限于：
1、拆除、垃圾清运
2、成品保护
3、定位
4、玻璃更换
5、包括按原竣工图纸要求完成本清单项工作内容的其他工作、工序内容。</t>
  </si>
  <si>
    <t>主材为窗户玻璃，不分规格</t>
  </si>
  <si>
    <t>屋面风帽</t>
  </si>
  <si>
    <t>包括不限于：
1、拆除、垃圾清运
2、更换、定位
3、包括为完成本清单项工作内容的其他工作、工序内容</t>
  </si>
  <si>
    <t>主材为风帽，不分规格</t>
  </si>
  <si>
    <t>十一、市政配套及绿化维护</t>
  </si>
  <si>
    <t>草皮铲除及修补</t>
  </si>
  <si>
    <t>1.种类:草皮铲除及修补
2.规格:综合考虑
3.养护期:12个月
4.其他要求:现场恢复原状</t>
  </si>
  <si>
    <t>主材为草皮</t>
  </si>
  <si>
    <t>地被修补</t>
  </si>
  <si>
    <t>1.种类:地被修补
2.规格:综合考虑
3.养护期:12个月
4.其他要求:现场恢复原状</t>
  </si>
  <si>
    <t>不含主材</t>
  </si>
  <si>
    <t>乔木移栽</t>
  </si>
  <si>
    <t>1.种类:乔木类移栽
2.规格:综合考虑
3.养护期:12个月
4.其他要求:现场恢复原状</t>
  </si>
  <si>
    <t>株</t>
  </si>
  <si>
    <t>灌木移栽</t>
  </si>
  <si>
    <t>1.种类:灌木类移栽
2.规格:综合考虑
3.养护期:12个月
4.其他要求:现场恢复原状</t>
  </si>
  <si>
    <t>钢网围栏更换</t>
  </si>
  <si>
    <t>1、名称：小区钢网围栏
2、高度:2米
3、孔径:5.8*5.8cm
4、立柱直径:6.5cm，立柱管壁厚:2mm
5、横梁直径:4.8cm，横梁壁厚:2mm
6、钢网孔丝直径:（网厚）4.0mm
7、基础C25砼：300*300*500
8、预埋件：100*100*10，4根14钢筋锚入基础300mm</t>
  </si>
  <si>
    <t>主材为钢网围栏</t>
  </si>
  <si>
    <t>路缘石破损修复</t>
  </si>
  <si>
    <t>1、部位：路缘石破损
2、含对需修复部位粘结层及面层保护性凿除，重新更换铺贴</t>
  </si>
  <si>
    <t>主材为路缘石</t>
  </si>
  <si>
    <t>铺设植草砖（含主材）</t>
  </si>
  <si>
    <t>1、部位：植草砖面层破损
2、含对需修复部位粘结层及面层保护性凿除，重新更换铺贴</t>
  </si>
  <si>
    <t>主材为植草砖</t>
  </si>
  <si>
    <t>园建地面铺砖</t>
  </si>
  <si>
    <t>1、部位：地砖破损
2、含对需修复部位找平层、粘结层及面层保护性凿除，重新铺贴道板砖，铺贴厚度为3-5CM</t>
  </si>
  <si>
    <t>检查井井盖破损更换</t>
  </si>
  <si>
    <t>1、部位：景观检查井井盖破损
2、含对检查井井盖进行保护性拆除，重新更换铸铁井盖
3、现场恢复原状</t>
  </si>
  <si>
    <t>主材为塑料井盖</t>
  </si>
  <si>
    <t>铸铁井盖更换</t>
  </si>
  <si>
    <t>包括不限于:
1、拆除、垃圾清运；
2、铸铁井盖
3、包括为完成本清单项工作内容的其他工作、工序内容</t>
  </si>
  <si>
    <t>主材为铸铁井盖</t>
  </si>
  <si>
    <t>雨篦子破损更换</t>
  </si>
  <si>
    <t>1、部位：雨箅子破损
2、含对雨箅子进行保护性拆除，重新更换。
3、现场恢复原状</t>
  </si>
  <si>
    <t>主材为雨篦子</t>
  </si>
  <si>
    <t>室外路灯杆损坏更换</t>
  </si>
  <si>
    <t>1、部位：室外路灯杆损坏
2、含更换室外庭院道路灯杆（高4M）、灯具
3、现场恢复原状</t>
  </si>
  <si>
    <t>主材为室外路灯杆</t>
  </si>
  <si>
    <t>地上充电桩更换</t>
  </si>
  <si>
    <t>主材为地上充电桩</t>
  </si>
  <si>
    <t>合计</t>
  </si>
  <si>
    <t>安置房4#、5#地块项目零星维保修工程清单（二）</t>
  </si>
  <si>
    <t>不含税工日单价（元）</t>
  </si>
  <si>
    <t>综合工日（对于各项维修事项所对应的详细工日消耗，未予明确列示，以现场实际投入使用签确为准）</t>
  </si>
  <si>
    <t>工日</t>
  </si>
  <si>
    <t>不含税总计</t>
  </si>
  <si>
    <t>安置房4#、5#地块项目电梯质保服务</t>
  </si>
  <si>
    <t>安置房4#、5#地块项目电梯质保服务工程量编制说明</t>
  </si>
  <si>
    <r>
      <rPr>
        <b/>
        <sz val="12"/>
        <color rgb="FF000000"/>
        <rFont val="宋体"/>
        <charset val="134"/>
      </rPr>
      <t>一、工程概况及内容</t>
    </r>
    <r>
      <rPr>
        <sz val="12"/>
        <color rgb="FF000000"/>
        <rFont val="宋体"/>
        <charset val="134"/>
      </rPr>
      <t xml:space="preserve">
    安置房4#地块：项目位于海口市江东新区白驹大道南侧。用地面积18887.62㎡，容积率3.0。总建筑面积73375.22㎡，地上建筑面57321.54㎡，地下建筑面积16053.68㎡。建设内容包括住宅、商业、公共服务设施配套、地下室及地下车库等，同时建设给排水、电气、消防、人防等工程以及室外配套工程。
    安置房5#地块：项目位于海口市江东新区白驹大道南侧。用地面积32826.92㎡，容积率3.0。总建筑面积127904.84㎡，地上建筑面99443.65㎡，地下建筑面积28461.19㎡。建设内容包括住宅、商业、公共服务设施配套、地下室及地下车库等，同时建设给排水、电气、消防、人防等工程以及室外配套工程。
    本工程内容为安置房4#、5#地块项目电梯质保所有项目（不含维保，维保由物业公司负责）（具体工程内容以甲方盖章确认的工程量清单为准）。 </t>
    </r>
  </si>
  <si>
    <r>
      <rPr>
        <b/>
        <sz val="12"/>
        <color rgb="FF000000"/>
        <rFont val="宋体"/>
        <charset val="134"/>
      </rPr>
      <t xml:space="preserve">二、工程量清单编制依据
   </t>
    </r>
    <r>
      <rPr>
        <sz val="12"/>
        <color rgb="FF000000"/>
        <rFont val="宋体"/>
        <charset val="134"/>
      </rPr>
      <t>安置房4#、5#地块项目电梯质保服务任务书。</t>
    </r>
  </si>
  <si>
    <r>
      <rPr>
        <b/>
        <sz val="12"/>
        <rFont val="宋体"/>
        <charset val="134"/>
        <scheme val="minor"/>
      </rPr>
      <t xml:space="preserve">三、工程量计算说明
  </t>
    </r>
    <r>
      <rPr>
        <sz val="12"/>
        <rFont val="宋体"/>
        <charset val="134"/>
        <scheme val="minor"/>
      </rPr>
      <t xml:space="preserve"> 本项目4#地块电梯共16台（质保期限15个月），5#地块电梯共25台（质保期限7个月）。</t>
    </r>
  </si>
  <si>
    <r>
      <rPr>
        <b/>
        <sz val="12"/>
        <rFont val="宋体"/>
        <charset val="134"/>
        <scheme val="minor"/>
      </rPr>
      <t xml:space="preserve">四、计价说明
  </t>
    </r>
    <r>
      <rPr>
        <sz val="12"/>
        <rFont val="宋体"/>
        <charset val="134"/>
        <scheme val="minor"/>
      </rPr>
      <t>1、合同价格形式：固定不含税全费用单价。
  2、固定不含税全费用单价已包含：人工费、机械费、材料费（含主材及所需的全部辅材）、搭拆脚手架工料费用、开槽、防污、防水以及工程及材料所须的各种检测费及试验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
  3、税金：本工程税金税率由投标人自行根据自身情况填报。</t>
    </r>
    <r>
      <rPr>
        <b/>
        <sz val="12"/>
        <rFont val="宋体"/>
        <charset val="134"/>
        <scheme val="minor"/>
      </rPr>
      <t xml:space="preserve">
</t>
    </r>
  </si>
  <si>
    <t>海口江东新区安置房4#、5#地块项目电梯质保服务
投标报价汇总表</t>
  </si>
  <si>
    <t>安置房4#地块项目</t>
  </si>
  <si>
    <t>安置房5#地块项目</t>
  </si>
  <si>
    <t>税率（%）</t>
  </si>
  <si>
    <t>含税总计</t>
  </si>
  <si>
    <t>安置房4#项目电梯质保维修工程清单</t>
  </si>
  <si>
    <t>门机变频器</t>
  </si>
  <si>
    <t>包括但不限于：
1、拆除、安装（计主材及安装费，不低于交付标准）
2、包括为完成本清单项工作内容的其他工作、工艺内容</t>
  </si>
  <si>
    <t>控制柜变频器</t>
  </si>
  <si>
    <t>门机马达</t>
  </si>
  <si>
    <t>1、规格型号：：BM14794 PMM2.3
2、工作内容包括但不限于：
1）拆除、安装（计主材及安装费，不低于交付标准）
2）包括为完成本清单项工作内容的其他工作、工艺内容</t>
  </si>
  <si>
    <t>轿顶板</t>
  </si>
  <si>
    <t>件</t>
  </si>
  <si>
    <t>通讯板</t>
  </si>
  <si>
    <t>1、规格型号：RS40
2、工作内容包括但不限于：
1）拆除、安装（计主材及安装费，不低于交付标准）
2）包括为完成本清单项工作内容的其他工作、工艺内容</t>
  </si>
  <si>
    <t>限速器</t>
  </si>
  <si>
    <t>1、规格型号：OX-240
2、工作内容包括但不限于：
1）拆除、安装（计主材及安装费，不低于交付标准）
2）包括为完成本清单项工作内容的其他工作、工艺内容</t>
  </si>
  <si>
    <t>导向轮</t>
  </si>
  <si>
    <t>1、材质：铸铁
2、工作内容包括但不限于：
1）拆除、安装（计主材及安装费，不低于交付标准）
2）包括为完成本清单项工作内容的其他工作、工艺内容</t>
  </si>
  <si>
    <t>外呼显示板</t>
  </si>
  <si>
    <t>1、规格型号：CPI-L0640
2、工作内容包括但不限于：
1）拆除、安装（计主材及安装费，不低于交付标准）
2）包括为完成本清单项工作内容的其他工作、工艺内容</t>
  </si>
  <si>
    <t>涨紧轮装置</t>
  </si>
  <si>
    <t>1、规格型号：OX-200
2、工作内容包括但不限于：
1）拆除、安装（计主材及安装费，不低于交付标准）
2）包括为完成本清单项工作内容的其他工作、工艺内容</t>
  </si>
  <si>
    <t>通讯地址板</t>
  </si>
  <si>
    <t>1、规格型号：RS14
2、工作内容包括但不限于：
1）拆除、安装（计主材及安装费，不低于交付标准）
2）包括为完成本清单项工作内容的其他工作、工艺内容</t>
  </si>
  <si>
    <t>电梯光幕</t>
  </si>
  <si>
    <t>1、规格型号：XAO3723
2、工作内容包括但不限于：
1）拆除、安装（计主材及安装费，不低于交付标准）
2）包括为完成本清单项工作内容的其他工作、工艺内容</t>
  </si>
  <si>
    <t>电梯应急电源</t>
  </si>
  <si>
    <t>1、规格型号：RKP220/12V
2、工作内容包括但不限于：
1）拆除、安装（计主材及安装费，不低于交付标准）
2）包括为完成本清单项工作内容的其他工作、工艺内容</t>
  </si>
  <si>
    <t>按钮</t>
  </si>
  <si>
    <t>1、规格型号：DL-PO
2、工作内容包括但不限于：
1）拆除、安装（计主材及安装费，不低于交付标准）
2）包括为完成本清单项工作内容的其他工作、工艺内容</t>
  </si>
  <si>
    <t>轿厢对讲机</t>
  </si>
  <si>
    <t>1、规格型号：XO5249B
2、工作内容包括但不限于：
1）拆除、安装（计主材及安装费，不低于交付标准）
2）包括为完成本清单项工作内容的其他工作、工艺内容</t>
  </si>
  <si>
    <t>电梯手提灯</t>
  </si>
  <si>
    <t>1、规格型号：HD-1
2、工作内容包括但不限于：
1）拆除、安装（计主材及安装费，不低于交付标准）
2）包括为完成本清单项工作内容的其他工作、工艺内容</t>
  </si>
  <si>
    <t>灯泡(应急灯)</t>
  </si>
  <si>
    <t>1、规格型号：12V,20W,双脚
2、工作内容包括但不限于：
1）拆除、安装（计主材及安装费，不低于交付标准）
2）包括为完成本清单项工作内容的其他工作、工艺内容</t>
  </si>
  <si>
    <t>底坑检修盒</t>
  </si>
  <si>
    <t>1、规格型号：XOA3161
2、工作内容包括但不限于：
1）拆除、安装（计主材及安装费，不低于交付标准）
2）包括为完成本清单项工作内容的其他工作、工艺内容</t>
  </si>
  <si>
    <t>轿厢显示器</t>
  </si>
  <si>
    <t>1、规格型号：COP-OMD
2、工作内容包括但不限于：
1）拆除、安装（计主材及安装费，不低于交付标准）
2）包括为完成本清单项工作内容的其他工作、工艺内容</t>
  </si>
  <si>
    <t>平层板</t>
  </si>
  <si>
    <t>1、规格型号：LVCTV1
2、工作内容包括但不限于：
1）拆除、安装（计主材及安装费，不低于交付标准）
2）包括为完成本清单项工作内容的其他工作、工艺内容</t>
  </si>
  <si>
    <t>1、规格型号：RS32-C
2、工作内容包括但不限于：
1）拆除、安装（计主材及安装费，不低于交付标准）
2）包括为完成本清单项工作内容的其他工作、工艺内容</t>
  </si>
  <si>
    <t>作</t>
  </si>
  <si>
    <t>平层感应器</t>
  </si>
  <si>
    <t>1、规格型号：XNCG
2、工作内容包括但不限于：
1）拆除、安装（计主材及安装费，不低于交付标准）
2）包括为完成本清单项工作内容的其他工作、工艺内容</t>
  </si>
  <si>
    <t>电梯缓冲器</t>
  </si>
  <si>
    <t>1、规格型号：XHCQ73
2、工作内容包括但不限于：
1）拆除、安装（计主材及安装费，不低于交付标准）
2）包括为完成本清单项工作内容的其他工作、工艺内容</t>
  </si>
  <si>
    <t>接触器</t>
  </si>
  <si>
    <t>1、规格型号：E1P
2、工作内容包括但不限于：
1）拆除、安装（计主材及安装费，不低于交付标准）
2）包括为完成本清单项工作内容的其他工作、工艺内容</t>
  </si>
  <si>
    <t>抱闸开关</t>
  </si>
  <si>
    <t>1、工作内容包括但不限于：
1）拆除、安装（计主材及安装费，不低于交付标准）
2）包括为完成本清单项工作内容的其他工作、工艺内容</t>
  </si>
  <si>
    <t>轮顶检修箱</t>
  </si>
  <si>
    <t>1、规格型号：XOA3161BJ
2、工作内容包括但不限于：
1）拆除、安装（计主材及安装费，不低于交付标准）
2）包括为完成本清单项工作内容的其他工作、工艺内容</t>
  </si>
  <si>
    <t>电梯四合一电源</t>
  </si>
  <si>
    <t>1、规格型号：RKP220
2、工作内容包括但不限于：
1）拆除、安装（计主材及安装费，不低于交付标准）
2）包括为完成本清单项工作内容的其他工作、工艺内容</t>
  </si>
  <si>
    <t>轿厢风扇</t>
  </si>
  <si>
    <t>电阻箱</t>
  </si>
  <si>
    <t>1、规格型号：17KW
2、工作内容包括但不限于：
1）拆除、安装（计主材及安装费，不低于交付标准）
2）包括为完成本清单项工作内容的其他工作、工艺内容</t>
  </si>
  <si>
    <t>电梯减速开关</t>
  </si>
  <si>
    <t>铭牌</t>
  </si>
  <si>
    <t>1、规格型号：关门 NPX
2、工作内容包括但不限于：
1）拆除、安装（计主材及安装费，不低于交付标准）
2）包括为完成本清单项工作内容的其他工作、工艺内容</t>
  </si>
  <si>
    <t>箭头铭牌</t>
  </si>
  <si>
    <t>1、规格型号：NPX 用
2、工作内容包括但不限于：
1）拆除、安装（计主材及安装费，不低于交付标准）
2）包括为完成本清单项工作内容的其他工作、工艺内容</t>
  </si>
  <si>
    <t>1、规格型号：YPVF 数字片
2、工作内容包括但不限于：
1）拆除、安装（计主材及安装费，不低于交付标准）
2）包括为完成本清单项工作内容的其他工作、工艺内容</t>
  </si>
  <si>
    <t>箭头方向片</t>
  </si>
  <si>
    <t>1、规格型号：SL-TC
2、工作内容包括但不限于：
1）拆除、安装（计主材及安装费，不低于交付标准）
2）包括为完成本清单项工作内容的其他工作、工艺内容</t>
  </si>
  <si>
    <t>关门铭牌</t>
  </si>
  <si>
    <t>1、规格型号：YPVF
2、工作内容包括但不限于：
1）拆除、安装（计主材及安装费，不低于交付标准）
2）包括为完成本清单项工作内容的其他工作、工艺内容</t>
  </si>
  <si>
    <t>铭牌-1 型</t>
  </si>
  <si>
    <t>1、规格型号：GVF小
2、工作内容包括但不限于：
1）拆除、安装（计主材及安装费，不低于交付标准）
2）包括为完成本清单项工作内容的其他工作、工艺内容</t>
  </si>
  <si>
    <t>大堂铭牌</t>
  </si>
  <si>
    <t>1、规格型号：dl-PO2 大堂
2、工作内容包括但不限于：
1）拆除、安装（计主材及安装费，不低于交付标准）
2）包括为完成本清单项工作内容的其他工作、工艺内容</t>
  </si>
  <si>
    <t>门机插销</t>
  </si>
  <si>
    <t>钮子开关</t>
  </si>
  <si>
    <t>量油尺</t>
  </si>
  <si>
    <t>油盅托板</t>
  </si>
  <si>
    <t>1、规格型号：开门 NPX
2、工作内容包括但不限于：
1）拆除、安装（计主材及安装费，不低于交付标准）
2）包括为完成本清单项工作内容的其他工作、工艺内容</t>
  </si>
  <si>
    <t>开门铭牌</t>
  </si>
  <si>
    <t>缓冲橡胶</t>
  </si>
  <si>
    <t>保险管</t>
  </si>
  <si>
    <t>1、规格型号：5A
2、工作内容包括但不限于：
1）拆除、安装（计主材及安装费，不低于交付标准）
2）包括为完成本清单项工作内容的其他工作、工艺内容</t>
  </si>
  <si>
    <t>橡胶门靴</t>
  </si>
  <si>
    <t>铭牌2</t>
  </si>
  <si>
    <t>手柄</t>
  </si>
  <si>
    <t>锁杆</t>
  </si>
  <si>
    <t>靴衬</t>
  </si>
  <si>
    <t>1、规格型号：8K
2、工作内容包括但不限于：
1）拆除、安装（计主材及安装费，不低于交付标准）
2）包括为完成本清单项工作内容的其他工作、工艺内容</t>
  </si>
  <si>
    <t>导轨接油装置</t>
  </si>
  <si>
    <t>1、规格型号：T-13K 导轨用
2、工作内容包括但不限于：
1）拆除、安装（计主材及安装费，不低于交付标准）
2）包括为完成本清单项工作内容的其他工作、工艺内容</t>
  </si>
  <si>
    <t>带引线 8P 插接头</t>
  </si>
  <si>
    <t>1、规格型号：线长 500,R=0.1
2、工作内容包括但不限于：
1）拆除、安装（计主材及安装费，不低于交付标准）
2）包括为完成本清单项工作内容的其他工作、工艺内容</t>
  </si>
  <si>
    <t>1、规格型号：T-8K 导轨用
2、工作内容包括但不限于：
1）拆除、安装（计主材及安装费，不低于交付标准）
2）包括为完成本清单项工作内容的其他工作、工艺内容</t>
  </si>
  <si>
    <t>YP 风扇防震胶</t>
  </si>
  <si>
    <t>拨动开关</t>
  </si>
  <si>
    <t>层门踏板支架</t>
  </si>
  <si>
    <t>8P 插接头带连线</t>
  </si>
  <si>
    <t>1、规格型号：带 0.75 线,线长 100
2、工作内容包括但不限于：
1）拆除、安装（计主材及安装费，不低于交付标准）
2）包括为完成本清单项工作内容的其他工作、工艺内容</t>
  </si>
  <si>
    <t>综合工日（对于各项维修事项所对应的详细工日消耗，未予明确列示，以现场实际投入使用签证为准）</t>
  </si>
  <si>
    <t>安置房5#项目电梯质保维修工程清单</t>
  </si>
  <si>
    <t>海口江东新区安置房4#、5#地块项目电梯质保服务控制价计算表</t>
  </si>
  <si>
    <t>电梯楼号/编号</t>
  </si>
  <si>
    <t xml:space="preserve">层站 </t>
  </si>
  <si>
    <t>不含税综合单价
（元/月/台）</t>
  </si>
  <si>
    <t>数量/台</t>
  </si>
  <si>
    <t>数量/月</t>
  </si>
  <si>
    <t>安置房4#地块</t>
  </si>
  <si>
    <t>1#DT1-DT2</t>
  </si>
  <si>
    <t>19层/19站</t>
  </si>
  <si>
    <t>2#DT1-DT2</t>
  </si>
  <si>
    <t>3#DT1-DT2</t>
  </si>
  <si>
    <t>4#DT1-DT2</t>
  </si>
  <si>
    <t>5#DT1-DT2</t>
  </si>
  <si>
    <t>6#DT1-DT2</t>
  </si>
  <si>
    <t>商业SDT1-SDT4</t>
  </si>
  <si>
    <t>5层/5站</t>
  </si>
  <si>
    <t>安置房5#地块</t>
  </si>
  <si>
    <t>7#DT1-DT2</t>
  </si>
  <si>
    <t>8#DT1-DT2</t>
  </si>
  <si>
    <t>9#DT1-DT2</t>
  </si>
  <si>
    <t>10#DT1-DT2</t>
  </si>
  <si>
    <t>11#DT1-DT2</t>
  </si>
  <si>
    <t>商业SDT1-SDT3</t>
  </si>
  <si>
    <t>6层6站</t>
  </si>
  <si>
    <t>税金（13%）</t>
  </si>
  <si>
    <t>询价记录</t>
  </si>
  <si>
    <t>询价对象</t>
  </si>
  <si>
    <t>询价截图</t>
  </si>
  <si>
    <t>维修性质</t>
  </si>
  <si>
    <t>单价（月/台/元）</t>
  </si>
  <si>
    <t>北京中铁安装工程有限公司</t>
  </si>
  <si>
    <t>仅质保</t>
  </si>
  <si>
    <t>湖南凯城机电工程有限公司</t>
  </si>
  <si>
    <t>乘客电梯
全包</t>
  </si>
  <si>
    <t>仅质保费为475（月/台/元）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</si>
</sst>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quot;元&quot;&quot;整&quot;"/>
    <numFmt numFmtId="177" formatCode="_(* #,##0_);_(* \(#,##0\);_(* &quot;-&quot;??_);_(@_)"/>
    <numFmt numFmtId="178" formatCode="yy\.mm\.dd"/>
    <numFmt numFmtId="179" formatCode="_-* #,##0_-;\-* #,##0_-;_-* &quot;-&quot;_-;_-@_-"/>
    <numFmt numFmtId="180" formatCode="_-* #,##0.00_-;_-* #,##0.00\-;_-* &quot;-&quot;??_-;_-@_-"/>
    <numFmt numFmtId="181" formatCode="_(&quot;$&quot;* #,##0.00_);_(&quot;$&quot;* \(#,##0.00\);_(&quot;$&quot;* &quot;-&quot;??_);_(@_)"/>
    <numFmt numFmtId="182" formatCode="_-* #,##0.00_-;\-* #,##0.00_-;_-* &quot;-&quot;??_-;_-@_-"/>
    <numFmt numFmtId="183" formatCode="\$#,##0\ ;\(\$#,##0\)"/>
    <numFmt numFmtId="184" formatCode="_ &quot;￥&quot;* #,##0_ ;_ &quot;￥&quot;* \-#,##0_ ;_ &quot;￥&quot;* \-_ ;_ @_ "/>
    <numFmt numFmtId="185" formatCode="0.000_ "/>
    <numFmt numFmtId="186" formatCode="_-&quot;$&quot;* #,##0_-;\-&quot;$&quot;* #,##0_-;_-&quot;$&quot;* &quot;-&quot;_-;_-@_-"/>
    <numFmt numFmtId="187" formatCode="_-&quot;$&quot;* #,##0.00_-;\-&quot;$&quot;* #,##0.00_-;_-&quot;$&quot;* &quot;-&quot;??_-;_-@_-"/>
    <numFmt numFmtId="188" formatCode="0.0%"/>
    <numFmt numFmtId="189" formatCode="_(* #,##0.00%_);_(* \(#,##0.00%\);_(* #,##0.00%_);_(@_)"/>
    <numFmt numFmtId="190" formatCode="\ ;\ ;"/>
    <numFmt numFmtId="191" formatCode="#,##0;[Red]\ \ \(#,##0\)"/>
    <numFmt numFmtId="192" formatCode="\$#,##0.00;\(\$#,##0.00\)"/>
    <numFmt numFmtId="193" formatCode="_ &quot;SFr.&quot;* #,##0.00_ ;_ &quot;SFr.&quot;* \-#,##0.00_ ;_ &quot;SFr.&quot;* &quot;-&quot;??_ ;_ @_ "/>
    <numFmt numFmtId="194" formatCode="_ * #,##0_ ;_ * &quot;\&quot;&quot;\&quot;&quot;\&quot;\-#,##0_ ;_ * &quot;-&quot;_ ;_ @_ "/>
    <numFmt numFmtId="195" formatCode="#,##0;\(#,##0\)"/>
    <numFmt numFmtId="196" formatCode="&quot;$&quot;\ #,##0.00_-;[Red]&quot;$&quot;\ #,##0.00\-"/>
    <numFmt numFmtId="197" formatCode="&quot;\&quot;#,##0;[Red]&quot;\&quot;\-#,##0"/>
    <numFmt numFmtId="198" formatCode="#,##0.0;\(#,##0.0\)"/>
    <numFmt numFmtId="199" formatCode="&quot;$&quot;#,##0;\-&quot;$&quot;#,##0"/>
    <numFmt numFmtId="200" formatCode="_(&quot;$&quot;* #,##0_);_(&quot;$&quot;* \(#,##0\);_(&quot;$&quot;* &quot;-&quot;_);_(@_)"/>
    <numFmt numFmtId="201" formatCode="_ &quot;R&quot;\ * #,##0.00_ ;_ &quot;R&quot;\ * \-#,##0.00_ ;_ &quot;R&quot;\ * &quot;-&quot;??_ ;_ @_ "/>
    <numFmt numFmtId="202" formatCode="_(&quot;OR&quot;\ * #,##0.00_);_(&quot;OR&quot;\ * \(#,##0.00\);_(&quot;OR&quot;\ * &quot;-&quot;??_);_(@_)"/>
    <numFmt numFmtId="203" formatCode="0.0000"/>
    <numFmt numFmtId="204" formatCode="0.00_)"/>
    <numFmt numFmtId="205" formatCode="&quot;£&quot;#,##0;\-&quot;£&quot;#,##0"/>
    <numFmt numFmtId="206" formatCode="&quot;£&quot;#,##0;[Red]\-&quot;£&quot;#,##0"/>
    <numFmt numFmtId="207" formatCode="General_)"/>
    <numFmt numFmtId="208" formatCode="_(* #,##0.00_);_(* \(#,##0.00\);_(* &quot;-&quot;??_);_(@_)"/>
    <numFmt numFmtId="209" formatCode="dd/mmm/yy"/>
    <numFmt numFmtId="210" formatCode="_ &quot;￥&quot;* #,##0.00_ ;_ &quot;￥&quot;* \-#,##0.00_ ;_ &quot;￥&quot;* \-??_ ;_ @_ "/>
    <numFmt numFmtId="211" formatCode="&quot;$&quot;#,##0_);[Red]\(&quot;$&quot;#,##0\)"/>
    <numFmt numFmtId="212" formatCode="d\ mmm\ yy"/>
    <numFmt numFmtId="213" formatCode="\$#,##0;\(\$#,##0\)"/>
    <numFmt numFmtId="214" formatCode="_ [$€-2]* #,##0.00_ ;_ [$€-2]* \-#,##0.00_ ;_ [$€-2]* &quot;-&quot;??_ "/>
    <numFmt numFmtId="215" formatCode="_(* #,##0.0_);_(* &quot;\&quot;&quot;\&quot;&quot;\&quot;&quot;\&quot;\(#,##0.0&quot;\&quot;&quot;\&quot;&quot;\&quot;&quot;\&quot;\);_(* &quot;-&quot;_);_(@_)"/>
    <numFmt numFmtId="216" formatCode="_ &quot;R&quot;\ * #,##0_ ;_ &quot;R&quot;\ * \-#,##0_ ;_ &quot;R&quot;\ * &quot;-&quot;_ ;_ @_ "/>
    <numFmt numFmtId="217" formatCode="&quot;$&quot;#,##0.00_);[Red]\(&quot;$&quot;#,##0.00\)"/>
    <numFmt numFmtId="218" formatCode="_-&quot;$&quot;\ * #,##0_-;_-&quot;$&quot;\ * #,##0\-;_-&quot;$&quot;\ * &quot;-&quot;_-;_-@_-"/>
    <numFmt numFmtId="219" formatCode="&quot;\&quot;#,##0.00;[Red]&quot;\&quot;\-#,##0.00"/>
    <numFmt numFmtId="220" formatCode="0.00000%"/>
    <numFmt numFmtId="221" formatCode="#\ ??/??"/>
    <numFmt numFmtId="222" formatCode="&quot;£&quot;#,##0.00;\-&quot;£&quot;#,##0.00"/>
    <numFmt numFmtId="223" formatCode="&quot;£&quot;#,##0.00;[Red]\-&quot;£&quot;#,##0.00"/>
    <numFmt numFmtId="224" formatCode="_ \¥* #,##0.00_ ;_ \¥* \-#,##0.00_ ;_ \¥* &quot;-&quot;??_ ;_ @_ "/>
    <numFmt numFmtId="225" formatCode="_ \¥* #,##0_ ;_ \¥* \-#,##0_ ;_ \¥* &quot;-&quot;_ ;_ @_ "/>
    <numFmt numFmtId="226" formatCode="_(&quot;ß&quot;* #,##0_);_(&quot;ß&quot;* \(#,##0\);_(&quot;ß&quot;* &quot;-&quot;_);_(@_)"/>
    <numFmt numFmtId="227" formatCode="_(&quot;ß&quot;* #,##0.00_);_(&quot;ß&quot;* \(#,##0.00\);_(&quot;ß&quot;* &quot;-&quot;??_);_(@_)"/>
    <numFmt numFmtId="228" formatCode="\¥#,##0;\-\¥#,##0"/>
    <numFmt numFmtId="229" formatCode="#,##0.0%;[Red]\(#,##0.0%\)"/>
    <numFmt numFmtId="230" formatCode="_(* #,##0_);_(* \(#,##0\);_(* &quot;-&quot;_);_(@_)"/>
    <numFmt numFmtId="231" formatCode="0.0000_ "/>
    <numFmt numFmtId="232" formatCode="\¥#,##0.00;[Red]\¥\-#,##0.00"/>
    <numFmt numFmtId="233" formatCode="0.00_ "/>
    <numFmt numFmtId="234" formatCode="0_ "/>
    <numFmt numFmtId="235" formatCode="0.00_);[Red]\(0.00\)"/>
    <numFmt numFmtId="236" formatCode="#,##0.00_ "/>
  </numFmts>
  <fonts count="253">
    <font>
      <sz val="11"/>
      <color theme="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b/>
      <sz val="20"/>
      <name val="宋体"/>
      <charset val="134"/>
    </font>
    <font>
      <b/>
      <sz val="10"/>
      <name val="宋体"/>
      <charset val="134"/>
    </font>
    <font>
      <sz val="10"/>
      <name val="宋体"/>
      <charset val="134"/>
    </font>
    <font>
      <sz val="10"/>
      <name val="宋体"/>
      <charset val="204"/>
    </font>
    <font>
      <b/>
      <sz val="16"/>
      <color theme="1"/>
      <name val="宋体"/>
      <charset val="134"/>
      <scheme val="minor"/>
    </font>
    <font>
      <b/>
      <sz val="16"/>
      <name val="宋体"/>
      <charset val="134"/>
      <scheme val="minor"/>
    </font>
    <font>
      <sz val="14"/>
      <color theme="1"/>
      <name val="宋体"/>
      <charset val="134"/>
      <scheme val="minor"/>
    </font>
    <font>
      <b/>
      <sz val="14"/>
      <color theme="1"/>
      <name val="宋体"/>
      <charset val="134"/>
      <scheme val="minor"/>
    </font>
    <font>
      <sz val="12"/>
      <name val="宋体"/>
      <charset val="134"/>
    </font>
    <font>
      <b/>
      <sz val="16"/>
      <color rgb="FF000000"/>
      <name val="宋体"/>
      <charset val="134"/>
    </font>
    <font>
      <sz val="9"/>
      <name val="宋体"/>
      <charset val="134"/>
      <scheme val="minor"/>
    </font>
    <font>
      <b/>
      <sz val="12"/>
      <color rgb="FF000000"/>
      <name val="宋体"/>
      <charset val="134"/>
    </font>
    <font>
      <sz val="12"/>
      <name val="宋体"/>
      <charset val="134"/>
      <scheme val="minor"/>
    </font>
    <font>
      <b/>
      <sz val="12"/>
      <name val="宋体"/>
      <charset val="134"/>
      <scheme val="minor"/>
    </font>
    <font>
      <sz val="9"/>
      <color theme="1"/>
      <name val="宋体"/>
      <charset val="134"/>
      <scheme val="minor"/>
    </font>
    <font>
      <sz val="9"/>
      <name val="宋体"/>
      <charset val="134"/>
    </font>
    <font>
      <sz val="18"/>
      <name val="宋体"/>
      <charset val="134"/>
    </font>
    <font>
      <b/>
      <sz val="22"/>
      <name val="宋体"/>
      <charset val="134"/>
    </font>
    <font>
      <sz val="14"/>
      <name val="宋体"/>
      <charset val="134"/>
    </font>
    <font>
      <sz val="16"/>
      <name val="宋体"/>
      <charset val="134"/>
    </font>
    <font>
      <sz val="12"/>
      <color rgb="FF000000"/>
      <name val="宋体"/>
      <charset val="134"/>
    </font>
    <font>
      <sz val="16"/>
      <color theme="1"/>
      <name val="宋体"/>
      <charset val="134"/>
      <scheme val="minor"/>
    </font>
    <font>
      <sz val="12"/>
      <color theme="1"/>
      <name val="宋体"/>
      <charset val="134"/>
      <scheme val="minor"/>
    </font>
    <font>
      <sz val="10"/>
      <color theme="1"/>
      <name val="宋体"/>
      <charset val="134"/>
      <scheme val="minor"/>
    </font>
    <font>
      <sz val="10"/>
      <color rgb="FF000000"/>
      <name val="宋体"/>
      <charset val="134"/>
    </font>
    <font>
      <sz val="10"/>
      <color rgb="FF000000"/>
      <name val="Times New Roman"/>
      <charset val="134"/>
    </font>
    <font>
      <b/>
      <sz val="10"/>
      <color theme="1"/>
      <name val="宋体"/>
      <charset val="134"/>
      <scheme val="minor"/>
    </font>
    <font>
      <b/>
      <sz val="20"/>
      <color rgb="FF000000"/>
      <name val="宋体"/>
      <charset val="134"/>
    </font>
    <font>
      <b/>
      <sz val="20"/>
      <color theme="1"/>
      <name val="宋体"/>
      <charset val="134"/>
    </font>
    <font>
      <sz val="10"/>
      <color theme="1"/>
      <name val="宋体"/>
      <charset val="134"/>
    </font>
    <font>
      <b/>
      <sz val="12"/>
      <color theme="1"/>
      <name val="宋体"/>
      <charset val="134"/>
    </font>
    <font>
      <sz val="9"/>
      <color rgb="FF000000"/>
      <name val="宋体"/>
      <charset val="134"/>
    </font>
    <font>
      <sz val="9"/>
      <color rgb="FFFF0000"/>
      <name val="宋体"/>
      <charset val="134"/>
      <scheme val="minor"/>
    </font>
    <font>
      <sz val="10"/>
      <color rgb="FFFF0000"/>
      <name val="宋体"/>
      <charset val="134"/>
    </font>
    <font>
      <b/>
      <sz val="11"/>
      <color theme="1"/>
      <name val="宋体"/>
      <charset val="134"/>
    </font>
    <font>
      <sz val="11"/>
      <color theme="1"/>
      <name val="宋体"/>
      <charset val="134"/>
    </font>
    <font>
      <sz val="10"/>
      <color rgb="FF000000"/>
      <name val="宋体"/>
      <charset val="134"/>
      <scheme val="minor"/>
    </font>
    <font>
      <b/>
      <sz val="10"/>
      <color theme="1"/>
      <name val="宋体"/>
      <charset val="134"/>
    </font>
    <font>
      <b/>
      <sz val="10"/>
      <color rgb="FF000000"/>
      <name val="宋体"/>
      <charset val="134"/>
    </font>
    <font>
      <sz val="12"/>
      <color theme="1"/>
      <name val="宋体"/>
      <charset val="134"/>
    </font>
    <font>
      <b/>
      <sz val="9"/>
      <color theme="1"/>
      <name val="宋体"/>
      <charset val="134"/>
    </font>
    <font>
      <sz val="9"/>
      <color theme="1"/>
      <name val="宋体"/>
      <charset val="134"/>
    </font>
    <font>
      <b/>
      <sz val="16"/>
      <color theme="1"/>
      <name val="宋体"/>
      <charset val="134"/>
    </font>
    <font>
      <b/>
      <sz val="9"/>
      <color theme="1"/>
      <name val="宋体"/>
      <charset val="134"/>
      <scheme val="minor"/>
    </font>
    <font>
      <sz val="11"/>
      <color indexed="8"/>
      <name val="宋体"/>
      <charset val="134"/>
      <scheme val="minor"/>
    </font>
    <font>
      <sz val="10"/>
      <color indexed="8"/>
      <name val="宋体"/>
      <charset val="134"/>
      <scheme val="minor"/>
    </font>
    <font>
      <sz val="14"/>
      <color indexed="8"/>
      <name val="宋体"/>
      <charset val="134"/>
      <scheme val="minor"/>
    </font>
    <font>
      <sz val="10"/>
      <color rgb="FF000000"/>
      <name val="Times New Roman"/>
      <charset val="204"/>
    </font>
    <font>
      <b/>
      <sz val="20"/>
      <name val="宋体"/>
      <charset val="134"/>
      <scheme val="minor"/>
    </font>
    <font>
      <sz val="9"/>
      <color indexed="8"/>
      <name val="宋体"/>
      <charset val="134"/>
      <scheme val="minor"/>
    </font>
    <font>
      <b/>
      <sz val="14"/>
      <name val="宋体"/>
      <charset val="134"/>
      <scheme val="minor"/>
    </font>
    <font>
      <sz val="13"/>
      <name val="宋体"/>
      <charset val="134"/>
      <scheme val="minor"/>
    </font>
    <font>
      <sz val="13"/>
      <color rgb="FF000000"/>
      <name val="宋体"/>
      <charset val="134"/>
    </font>
    <font>
      <sz val="10"/>
      <name val="宋体"/>
      <charset val="134"/>
      <scheme val="minor"/>
    </font>
    <font>
      <b/>
      <sz val="13"/>
      <name val="宋体"/>
      <charset val="134"/>
      <scheme val="minor"/>
    </font>
    <font>
      <sz val="14"/>
      <name val="宋体"/>
      <charset val="134"/>
      <scheme val="minor"/>
    </font>
    <font>
      <sz val="11"/>
      <color rgb="FF000000"/>
      <name val="宋体"/>
      <charset val="204"/>
      <scheme val="minor"/>
    </font>
    <font>
      <sz val="11"/>
      <color rgb="FF000000"/>
      <name val="Times New Roman"/>
      <charset val="20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
      <charset val="134"/>
    </font>
    <font>
      <sz val="11"/>
      <color indexed="9"/>
      <name val="맑은 고딕"/>
      <charset val="129"/>
    </font>
    <font>
      <b/>
      <sz val="11"/>
      <color indexed="9"/>
      <name val="宋?"/>
      <charset val="134"/>
    </font>
    <font>
      <b/>
      <u/>
      <sz val="16"/>
      <color indexed="10"/>
      <name val="Palatino"/>
      <charset val="134"/>
    </font>
    <font>
      <sz val="11"/>
      <color indexed="9"/>
      <name val="宋体"/>
      <charset val="134"/>
    </font>
    <font>
      <b/>
      <sz val="12"/>
      <color indexed="8"/>
      <name val="宋体"/>
      <charset val="134"/>
    </font>
    <font>
      <sz val="8"/>
      <name val="Times New Roman"/>
      <charset val="134"/>
    </font>
    <font>
      <u/>
      <sz val="8"/>
      <color indexed="12"/>
      <name val="Times New Roman"/>
      <charset val="134"/>
    </font>
    <font>
      <sz val="12"/>
      <color indexed="8"/>
      <name val="宋体"/>
      <charset val="134"/>
    </font>
    <font>
      <sz val="12"/>
      <color indexed="8"/>
      <name val="新細明體"/>
      <charset val="134"/>
    </font>
    <font>
      <sz val="10"/>
      <name val="Arial"/>
      <charset val="134"/>
    </font>
    <font>
      <b/>
      <sz val="11"/>
      <color indexed="56"/>
      <name val="宋体"/>
      <charset val="134"/>
    </font>
    <font>
      <sz val="12"/>
      <color indexed="9"/>
      <name val="宋体"/>
      <charset val="134"/>
    </font>
    <font>
      <sz val="8"/>
      <color indexed="12"/>
      <name val="Arial"/>
      <charset val="134"/>
    </font>
    <font>
      <sz val="12"/>
      <color indexed="9"/>
      <name val="宋?"/>
      <charset val="134"/>
    </font>
    <font>
      <sz val="11"/>
      <color indexed="20"/>
      <name val="Tahoma"/>
      <charset val="134"/>
    </font>
    <font>
      <sz val="10"/>
      <color indexed="16"/>
      <name val="MS Serif"/>
      <charset val="134"/>
    </font>
    <font>
      <sz val="10"/>
      <name val="Helv"/>
      <charset val="134"/>
    </font>
    <font>
      <b/>
      <sz val="15"/>
      <color indexed="56"/>
      <name val="宋?"/>
      <charset val="134"/>
    </font>
    <font>
      <sz val="10"/>
      <color indexed="8"/>
      <name val="Helv"/>
      <charset val="134"/>
    </font>
    <font>
      <sz val="12"/>
      <color indexed="9"/>
      <name val="新細明體"/>
      <charset val="134"/>
    </font>
    <font>
      <sz val="11"/>
      <color indexed="8"/>
      <name val="宋体"/>
      <charset val="134"/>
    </font>
    <font>
      <sz val="12"/>
      <name val="바탕체"/>
      <charset val="134"/>
    </font>
    <font>
      <sz val="12"/>
      <color theme="3"/>
      <name val="宋体"/>
      <charset val="134"/>
    </font>
    <font>
      <sz val="11"/>
      <color rgb="FF9C0006"/>
      <name val="宋体"/>
      <charset val="134"/>
      <scheme val="minor"/>
    </font>
    <font>
      <sz val="11"/>
      <color indexed="62"/>
      <name val="宋体"/>
      <charset val="134"/>
    </font>
    <font>
      <sz val="12"/>
      <name val="宋?"/>
      <charset val="134"/>
    </font>
    <font>
      <b/>
      <sz val="18"/>
      <color indexed="62"/>
      <name val="宋体"/>
      <charset val="134"/>
    </font>
    <font>
      <b/>
      <sz val="8"/>
      <name val="MS Sans Serif"/>
      <charset val="134"/>
    </font>
    <font>
      <b/>
      <sz val="11"/>
      <color indexed="56"/>
      <name val="宋?"/>
      <charset val="134"/>
    </font>
    <font>
      <sz val="12"/>
      <color indexed="62"/>
      <name val="新細明體"/>
      <charset val="134"/>
    </font>
    <font>
      <sz val="10"/>
      <color indexed="8"/>
      <name val="MS Sans Serif"/>
      <charset val="134"/>
    </font>
    <font>
      <sz val="12"/>
      <name val="뼻뮝"/>
      <charset val="134"/>
    </font>
    <font>
      <sz val="12"/>
      <color indexed="10"/>
      <name val="新細明體"/>
      <charset val="134"/>
    </font>
    <font>
      <b/>
      <sz val="18"/>
      <color indexed="56"/>
      <name val="新細明體"/>
      <charset val="134"/>
    </font>
    <font>
      <b/>
      <sz val="12"/>
      <color indexed="8"/>
      <name val="新細明體"/>
      <charset val="134"/>
    </font>
    <font>
      <b/>
      <sz val="11"/>
      <color indexed="63"/>
      <name val="宋体"/>
      <charset val="134"/>
    </font>
    <font>
      <b/>
      <sz val="11"/>
      <color indexed="63"/>
      <name val="맑은 고딕"/>
      <charset val="129"/>
    </font>
    <font>
      <sz val="12"/>
      <color indexed="16"/>
      <name val="宋体"/>
      <charset val="134"/>
    </font>
    <font>
      <b/>
      <sz val="18"/>
      <color indexed="56"/>
      <name val="맑은 고딕"/>
      <charset val="129"/>
    </font>
    <font>
      <b/>
      <sz val="11"/>
      <color indexed="63"/>
      <name val="宋?"/>
      <charset val="134"/>
    </font>
    <font>
      <sz val="14"/>
      <name val="柧挬"/>
      <charset val="134"/>
    </font>
    <font>
      <sz val="11"/>
      <color indexed="9"/>
      <name val="宋?"/>
      <charset val="134"/>
    </font>
    <font>
      <sz val="11"/>
      <color indexed="62"/>
      <name val="맑은 고딕"/>
      <charset val="129"/>
    </font>
    <font>
      <u/>
      <sz val="12"/>
      <color indexed="12"/>
      <name val="宋体"/>
      <charset val="134"/>
    </font>
    <font>
      <b/>
      <sz val="8"/>
      <color indexed="8"/>
      <name val="Helv"/>
      <charset val="134"/>
    </font>
    <font>
      <sz val="10"/>
      <name val="MS Sans Serif"/>
      <charset val="134"/>
    </font>
    <font>
      <u/>
      <sz val="10"/>
      <color indexed="14"/>
      <name val="MS Sans Serif"/>
      <charset val="134"/>
    </font>
    <font>
      <sz val="12"/>
      <color indexed="20"/>
      <name val="宋体"/>
      <charset val="134"/>
    </font>
    <font>
      <b/>
      <sz val="12"/>
      <color indexed="63"/>
      <name val="新細明體"/>
      <charset val="134"/>
    </font>
    <font>
      <sz val="11"/>
      <color indexed="52"/>
      <name val="宋?"/>
      <charset val="134"/>
    </font>
    <font>
      <sz val="11"/>
      <color indexed="62"/>
      <name val="宋?"/>
      <charset val="134"/>
    </font>
    <font>
      <b/>
      <sz val="11"/>
      <color indexed="52"/>
      <name val="宋?"/>
      <charset val="134"/>
    </font>
    <font>
      <u/>
      <sz val="12"/>
      <color indexed="12"/>
      <name val="Times New Roman"/>
      <charset val="134"/>
    </font>
    <font>
      <sz val="12"/>
      <name val="Times New Roman"/>
      <charset val="134"/>
    </font>
    <font>
      <b/>
      <sz val="15"/>
      <color indexed="56"/>
      <name val="宋体"/>
      <charset val="134"/>
    </font>
    <font>
      <sz val="10"/>
      <name val="Geneva"/>
      <charset val="134"/>
    </font>
    <font>
      <sz val="10"/>
      <color indexed="14"/>
      <name val="Arial"/>
      <charset val="134"/>
    </font>
    <font>
      <sz val="10"/>
      <color indexed="17"/>
      <name val="微软雅黑"/>
      <charset val="134"/>
    </font>
    <font>
      <sz val="11"/>
      <color indexed="8"/>
      <name val="맑은 고딕"/>
      <charset val="129"/>
    </font>
    <font>
      <sz val="11"/>
      <name val="돋움"/>
      <charset val="129"/>
    </font>
    <font>
      <sz val="10"/>
      <name val="CG Times (WN)"/>
      <charset val="134"/>
    </font>
    <font>
      <sz val="12"/>
      <name val="明朝ｱｳﾄﾗｲﾝ"/>
      <charset val="134"/>
    </font>
    <font>
      <b/>
      <sz val="11"/>
      <color indexed="8"/>
      <name val="宋体"/>
      <charset val="134"/>
    </font>
    <font>
      <sz val="10"/>
      <color indexed="8"/>
      <name val="宋体"/>
      <charset val="134"/>
    </font>
    <font>
      <sz val="10"/>
      <color indexed="20"/>
      <name val="宋体"/>
      <charset val="134"/>
    </font>
    <font>
      <sz val="12"/>
      <color indexed="17"/>
      <name val="宋体"/>
      <charset val="134"/>
    </font>
    <font>
      <b/>
      <sz val="11"/>
      <color indexed="52"/>
      <name val="宋体"/>
      <charset val="134"/>
    </font>
    <font>
      <b/>
      <sz val="12"/>
      <name val="Arial"/>
      <charset val="134"/>
    </font>
    <font>
      <u/>
      <sz val="8.25"/>
      <color indexed="36"/>
      <name val="굴림체"/>
      <charset val="129"/>
    </font>
    <font>
      <sz val="14"/>
      <name val="AngsanaUPC"/>
      <charset val="134"/>
    </font>
    <font>
      <sz val="10"/>
      <color indexed="12"/>
      <name val="Arial"/>
      <charset val="134"/>
    </font>
    <font>
      <sz val="10"/>
      <color indexed="8"/>
      <name val="Arial"/>
      <charset val="134"/>
    </font>
    <font>
      <b/>
      <sz val="11"/>
      <color indexed="9"/>
      <name val="宋体"/>
      <charset val="134"/>
    </font>
    <font>
      <sz val="9"/>
      <color indexed="8"/>
      <name val="宋体"/>
      <charset val="134"/>
    </font>
    <font>
      <sz val="10"/>
      <color indexed="9"/>
      <name val="Arial"/>
      <charset val="134"/>
    </font>
    <font>
      <sz val="12"/>
      <name val="MS Sans Serif"/>
      <charset val="134"/>
    </font>
    <font>
      <b/>
      <sz val="20"/>
      <color indexed="8"/>
      <name val="宋体"/>
      <charset val="134"/>
    </font>
    <font>
      <sz val="10"/>
      <name val="楷体"/>
      <charset val="134"/>
    </font>
    <font>
      <b/>
      <sz val="10"/>
      <color indexed="8"/>
      <name val="宋体"/>
      <charset val="134"/>
    </font>
    <font>
      <b/>
      <sz val="15"/>
      <color indexed="56"/>
      <name val="新細明體"/>
      <charset val="134"/>
    </font>
    <font>
      <b/>
      <sz val="13"/>
      <color indexed="56"/>
      <name val="新細明體"/>
      <charset val="134"/>
    </font>
    <font>
      <sz val="11"/>
      <color rgb="FF006100"/>
      <name val="宋体"/>
      <charset val="134"/>
      <scheme val="minor"/>
    </font>
    <font>
      <b/>
      <sz val="11"/>
      <color indexed="56"/>
      <name val="新細明體"/>
      <charset val="134"/>
    </font>
    <font>
      <sz val="10"/>
      <name val="Times New Roman"/>
      <charset val="134"/>
    </font>
    <font>
      <sz val="11"/>
      <name val="Times New Roman"/>
      <charset val="134"/>
    </font>
    <font>
      <sz val="14"/>
      <name val="뼻뮝"/>
      <charset val="134"/>
    </font>
    <font>
      <sz val="11"/>
      <color indexed="17"/>
      <name val="宋体"/>
      <charset val="134"/>
    </font>
    <font>
      <b/>
      <sz val="13"/>
      <color indexed="56"/>
      <name val="宋体"/>
      <charset val="134"/>
    </font>
    <font>
      <sz val="11"/>
      <color indexed="10"/>
      <name val="맑은 고딕"/>
      <charset val="129"/>
    </font>
    <font>
      <sz val="11"/>
      <color indexed="8"/>
      <name val="Tahoma"/>
      <charset val="134"/>
    </font>
    <font>
      <sz val="11"/>
      <color indexed="17"/>
      <name val="ＭＳ Ｐゴシック"/>
      <charset val="134"/>
    </font>
    <font>
      <sz val="12"/>
      <name val="Arial MT"/>
      <charset val="134"/>
    </font>
    <font>
      <sz val="11"/>
      <color indexed="52"/>
      <name val="宋体"/>
      <charset val="134"/>
    </font>
    <font>
      <sz val="11"/>
      <name val="돋움"/>
      <charset val="134"/>
    </font>
    <font>
      <b/>
      <sz val="11"/>
      <name val="Helv"/>
      <charset val="134"/>
    </font>
    <font>
      <sz val="11"/>
      <color indexed="17"/>
      <name val="맑은 고딕"/>
      <charset val="129"/>
    </font>
    <font>
      <sz val="11"/>
      <color indexed="20"/>
      <name val="宋体"/>
      <charset val="134"/>
    </font>
    <font>
      <sz val="10"/>
      <name val="Arial Cyr"/>
      <charset val="134"/>
    </font>
    <font>
      <sz val="11"/>
      <color indexed="17"/>
      <name val="Tahoma"/>
      <charset val="134"/>
    </font>
    <font>
      <b/>
      <sz val="10"/>
      <name val="MS Sans Serif"/>
      <charset val="134"/>
    </font>
    <font>
      <u/>
      <sz val="12"/>
      <color indexed="36"/>
      <name val="Times New Roman"/>
      <charset val="134"/>
    </font>
    <font>
      <sz val="8"/>
      <name val="Wingdings"/>
      <charset val="2"/>
    </font>
    <font>
      <sz val="10"/>
      <name val="돋움"/>
      <charset val="129"/>
    </font>
    <font>
      <b/>
      <sz val="18"/>
      <color indexed="56"/>
      <name val="宋体"/>
      <charset val="134"/>
    </font>
    <font>
      <sz val="12"/>
      <color indexed="52"/>
      <name val="新細明體"/>
      <charset val="134"/>
    </font>
    <font>
      <sz val="8"/>
      <name val="Arial"/>
      <charset val="134"/>
    </font>
    <font>
      <sz val="12"/>
      <name val="¹UAAA¼"/>
      <charset val="134"/>
    </font>
    <font>
      <b/>
      <sz val="10"/>
      <name val="Helv"/>
      <charset val="134"/>
    </font>
    <font>
      <b/>
      <sz val="8"/>
      <name val="Arial"/>
      <charset val="134"/>
    </font>
    <font>
      <b/>
      <sz val="12"/>
      <name val="Helv"/>
      <charset val="134"/>
    </font>
    <font>
      <sz val="12"/>
      <name val="Helv"/>
      <charset val="134"/>
    </font>
    <font>
      <sz val="10"/>
      <name val="MS Serif"/>
      <charset val="134"/>
    </font>
    <font>
      <sz val="10"/>
      <name val="Courier"/>
      <charset val="134"/>
    </font>
    <font>
      <sz val="8"/>
      <name val="MS Sans Serif"/>
      <charset val="134"/>
    </font>
    <font>
      <sz val="18"/>
      <name val="Times New Roman"/>
      <charset val="134"/>
    </font>
    <font>
      <sz val="10"/>
      <color indexed="50"/>
      <name val="Arial"/>
      <charset val="134"/>
    </font>
    <font>
      <sz val="10"/>
      <name val="Arial Unicode MS"/>
      <charset val="134"/>
    </font>
    <font>
      <i/>
      <sz val="11"/>
      <color indexed="23"/>
      <name val="宋体"/>
      <charset val="134"/>
    </font>
    <font>
      <b/>
      <sz val="13"/>
      <name val="Times New Roman"/>
      <charset val="134"/>
    </font>
    <font>
      <b/>
      <i/>
      <sz val="12"/>
      <name val="Times New Roman"/>
      <charset val="134"/>
    </font>
    <font>
      <i/>
      <sz val="12"/>
      <name val="Times New Roman"/>
      <charset val="134"/>
    </font>
    <font>
      <sz val="10"/>
      <name val="Arabic Transparent"/>
      <charset val="178"/>
    </font>
    <font>
      <sz val="11"/>
      <color indexed="60"/>
      <name val="宋体"/>
      <charset val="134"/>
    </font>
    <font>
      <sz val="7"/>
      <name val="Small Fonts"/>
      <charset val="134"/>
    </font>
    <font>
      <b/>
      <sz val="14"/>
      <name val="楷体"/>
      <charset val="134"/>
    </font>
    <font>
      <b/>
      <i/>
      <sz val="16"/>
      <name val="Helv"/>
      <charset val="134"/>
    </font>
    <font>
      <sz val="11"/>
      <color indexed="8"/>
      <name val="Calibri"/>
      <charset val="134"/>
    </font>
    <font>
      <b/>
      <sz val="9"/>
      <name val="Arial"/>
      <charset val="134"/>
    </font>
    <font>
      <sz val="10"/>
      <name val="Tms Rmn"/>
      <charset val="134"/>
    </font>
    <font>
      <sz val="8"/>
      <name val="Helv"/>
      <charset val="134"/>
    </font>
    <font>
      <b/>
      <sz val="12"/>
      <name val="宋体"/>
      <charset val="134"/>
    </font>
    <font>
      <b/>
      <sz val="13"/>
      <name val="Arial"/>
      <charset val="134"/>
    </font>
    <font>
      <sz val="11"/>
      <color indexed="10"/>
      <name val="宋体"/>
      <charset val="134"/>
    </font>
    <font>
      <b/>
      <sz val="10"/>
      <name val="Tms Rmn"/>
      <charset val="134"/>
    </font>
    <font>
      <b/>
      <i/>
      <sz val="14"/>
      <name val="Arial"/>
      <charset val="134"/>
    </font>
    <font>
      <b/>
      <sz val="12"/>
      <color indexed="9"/>
      <name val="新細明體"/>
      <charset val="134"/>
    </font>
    <font>
      <sz val="9"/>
      <name val="Arial"/>
      <charset val="134"/>
    </font>
    <font>
      <sz val="12"/>
      <name val="SimSun"/>
      <charset val="134"/>
    </font>
    <font>
      <sz val="11"/>
      <name val="굴림체"/>
      <charset val="129"/>
    </font>
    <font>
      <u/>
      <sz val="10"/>
      <color indexed="12"/>
      <name val="MS Sans Serif"/>
      <charset val="134"/>
    </font>
    <font>
      <sz val="11"/>
      <name val="ＭＳ ゴシック"/>
      <charset val="134"/>
    </font>
    <font>
      <b/>
      <sz val="13"/>
      <color indexed="56"/>
      <name val="맑은 고딕"/>
      <charset val="129"/>
    </font>
    <font>
      <b/>
      <sz val="11"/>
      <color indexed="52"/>
      <name val="맑은 고딕"/>
      <charset val="129"/>
    </font>
    <font>
      <sz val="11"/>
      <color indexed="20"/>
      <name val="ＭＳ Ｐゴシック"/>
      <charset val="134"/>
    </font>
    <font>
      <sz val="10"/>
      <color indexed="20"/>
      <name val="微软雅黑"/>
      <charset val="134"/>
    </font>
    <font>
      <u/>
      <sz val="9"/>
      <color indexed="12"/>
      <name val="宋体"/>
      <charset val="134"/>
    </font>
    <font>
      <u/>
      <sz val="10"/>
      <color indexed="12"/>
      <name val="Arial"/>
      <charset val="134"/>
    </font>
    <font>
      <sz val="11"/>
      <color indexed="20"/>
      <name val="맑은 고딕"/>
      <charset val="129"/>
    </font>
    <font>
      <sz val="12"/>
      <color indexed="17"/>
      <name val="新細明體"/>
      <charset val="134"/>
    </font>
    <font>
      <sz val="10"/>
      <color indexed="17"/>
      <name val="宋体"/>
      <charset val="134"/>
    </font>
    <font>
      <sz val="11"/>
      <name val="ＭＳ Ｐゴシック"/>
      <charset val="134"/>
    </font>
    <font>
      <u/>
      <sz val="9"/>
      <color indexed="36"/>
      <name val="宋体"/>
      <charset val="134"/>
    </font>
    <font>
      <sz val="12"/>
      <color indexed="20"/>
      <name val="新細明體"/>
      <charset val="134"/>
    </font>
    <font>
      <b/>
      <sz val="12"/>
      <color indexed="52"/>
      <name val="新細明體"/>
      <charset val="134"/>
    </font>
    <font>
      <i/>
      <sz val="11"/>
      <color indexed="23"/>
      <name val="宋?"/>
      <charset val="134"/>
    </font>
    <font>
      <sz val="12"/>
      <name val="官帕眉"/>
      <charset val="134"/>
    </font>
    <font>
      <sz val="10"/>
      <name val="奔覆眉"/>
      <charset val="134"/>
    </font>
    <font>
      <sz val="10"/>
      <name val="굴림체"/>
      <charset val="134"/>
    </font>
    <font>
      <i/>
      <sz val="12"/>
      <color indexed="23"/>
      <name val="新細明體"/>
      <charset val="134"/>
    </font>
    <font>
      <u/>
      <sz val="10"/>
      <color indexed="36"/>
      <name val="Arial"/>
      <charset val="134"/>
    </font>
    <font>
      <sz val="12"/>
      <name val="新細明體"/>
      <charset val="134"/>
    </font>
    <font>
      <sz val="12"/>
      <name val="柧挬"/>
      <charset val="134"/>
    </font>
    <font>
      <sz val="12"/>
      <color indexed="60"/>
      <name val="新細明體"/>
      <charset val="134"/>
    </font>
    <font>
      <sz val="11"/>
      <color indexed="60"/>
      <name val="맑은 고딕"/>
      <charset val="129"/>
    </font>
    <font>
      <i/>
      <sz val="11"/>
      <color indexed="23"/>
      <name val="맑은 고딕"/>
      <charset val="129"/>
    </font>
    <font>
      <b/>
      <sz val="11"/>
      <color indexed="9"/>
      <name val="맑은 고딕"/>
      <charset val="129"/>
    </font>
    <font>
      <sz val="11"/>
      <color indexed="52"/>
      <name val="맑은 고딕"/>
      <charset val="129"/>
    </font>
    <font>
      <b/>
      <sz val="11"/>
      <color indexed="8"/>
      <name val="맑은 고딕"/>
      <charset val="129"/>
    </font>
    <font>
      <b/>
      <sz val="15"/>
      <color indexed="56"/>
      <name val="맑은 고딕"/>
      <charset val="129"/>
    </font>
    <font>
      <b/>
      <sz val="11"/>
      <color indexed="56"/>
      <name val="맑은 고딕"/>
      <charset val="129"/>
    </font>
  </fonts>
  <fills count="89">
    <fill>
      <patternFill patternType="none"/>
    </fill>
    <fill>
      <patternFill patternType="gray125"/>
    </fill>
    <fill>
      <patternFill patternType="solid">
        <fgColor indexed="9"/>
        <bgColor indexed="1"/>
      </patternFill>
    </fill>
    <fill>
      <patternFill patternType="solid">
        <fgColor theme="0"/>
        <bgColor indexed="64"/>
      </patternFill>
    </fill>
    <fill>
      <patternFill patternType="solid">
        <fgColor rgb="FFFFFF00"/>
        <bgColor indexed="64"/>
      </patternFill>
    </fill>
    <fill>
      <patternFill patternType="solid">
        <fgColor theme="0"/>
        <bgColor indexed="1"/>
      </patternFill>
    </fill>
    <fill>
      <patternFill patternType="solid">
        <fgColor rgb="FFFFFF00"/>
        <bgColor indexed="1"/>
      </patternFill>
    </fill>
    <fill>
      <patternFill patternType="solid">
        <fgColor rgb="FFC6E0B4"/>
        <bgColor indexed="64"/>
      </patternFill>
    </fill>
    <fill>
      <patternFill patternType="solid">
        <fgColor rgb="FFE2F0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gray0625">
        <fgColor indexed="23"/>
        <bgColor indexed="9"/>
      </patternFill>
    </fill>
    <fill>
      <patternFill patternType="solid">
        <fgColor indexed="47"/>
        <bgColor indexed="64"/>
      </patternFill>
    </fill>
    <fill>
      <patternFill patternType="lightUp">
        <fgColor indexed="9"/>
        <bgColor indexed="22"/>
      </patternFill>
    </fill>
    <fill>
      <patternFill patternType="solid">
        <fgColor indexed="22"/>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9"/>
        <bgColor indexed="64"/>
      </patternFill>
    </fill>
    <fill>
      <patternFill patternType="solid">
        <fgColor indexed="26"/>
        <bgColor indexed="64"/>
      </patternFill>
    </fill>
    <fill>
      <patternFill patternType="solid">
        <fgColor indexed="44"/>
        <bgColor indexed="44"/>
      </patternFill>
    </fill>
    <fill>
      <patternFill patternType="solid">
        <fgColor rgb="FF00B050"/>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10"/>
        <bgColor indexed="64"/>
      </patternFill>
    </fill>
    <fill>
      <patternFill patternType="solid">
        <fgColor indexed="12"/>
        <bgColor indexed="64"/>
      </patternFill>
    </fill>
    <fill>
      <patternFill patternType="solid">
        <fgColor indexed="22"/>
        <bgColor indexed="22"/>
      </patternFill>
    </fill>
    <fill>
      <patternFill patternType="solid">
        <fgColor indexed="44"/>
        <bgColor indexed="64"/>
      </patternFill>
    </fill>
    <fill>
      <patternFill patternType="solid">
        <fgColor indexed="57"/>
        <bgColor indexed="64"/>
      </patternFill>
    </fill>
    <fill>
      <patternFill patternType="solid">
        <fgColor indexed="42"/>
        <bgColor indexed="42"/>
      </patternFill>
    </fill>
    <fill>
      <patternFill patternType="solid">
        <fgColor indexed="31"/>
        <bgColor indexed="64"/>
      </patternFill>
    </fill>
    <fill>
      <patternFill patternType="solid">
        <fgColor indexed="31"/>
        <bgColor indexed="31"/>
      </patternFill>
    </fill>
    <fill>
      <patternFill patternType="solid">
        <fgColor indexed="62"/>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lightUp">
        <fgColor indexed="9"/>
        <bgColor indexed="29"/>
      </patternFill>
    </fill>
    <fill>
      <patternFill patternType="mediumGray">
        <fgColor indexed="22"/>
      </patternFill>
    </fill>
    <fill>
      <patternFill patternType="solid">
        <fgColor indexed="36"/>
        <bgColor indexed="64"/>
      </patternFill>
    </fill>
    <fill>
      <patternFill patternType="solid">
        <fgColor indexed="25"/>
        <bgColor indexed="25"/>
      </patternFill>
    </fill>
    <fill>
      <patternFill patternType="solid">
        <fgColor indexed="49"/>
        <bgColor indexed="49"/>
      </patternFill>
    </fill>
    <fill>
      <patternFill patternType="solid">
        <fgColor indexed="53"/>
        <bgColor indexed="64"/>
      </patternFill>
    </fill>
    <fill>
      <patternFill patternType="solid">
        <fgColor indexed="25"/>
        <bgColor indexed="64"/>
      </patternFill>
    </fill>
    <fill>
      <patternFill patternType="solid">
        <fgColor indexed="54"/>
        <bgColor indexed="64"/>
      </patternFill>
    </fill>
    <fill>
      <patternFill patternType="solid">
        <fgColor indexed="54"/>
        <bgColor indexed="54"/>
      </patternFill>
    </fill>
    <fill>
      <patternFill patternType="solid">
        <fgColor indexed="26"/>
        <bgColor indexed="26"/>
      </patternFill>
    </fill>
    <fill>
      <patternFill patternType="solid">
        <fgColor indexed="15"/>
        <bgColor indexed="64"/>
      </patternFill>
    </fill>
    <fill>
      <patternFill patternType="solid">
        <fgColor indexed="55"/>
        <bgColor indexed="55"/>
      </patternFill>
    </fill>
    <fill>
      <patternFill patternType="solid">
        <fgColor indexed="27"/>
        <bgColor indexed="27"/>
      </patternFill>
    </fill>
    <fill>
      <patternFill patternType="darkVertica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lightUp">
        <fgColor indexed="9"/>
        <bgColor indexed="55"/>
      </patternFill>
    </fill>
    <fill>
      <patternFill patternType="gray125"/>
    </fill>
    <fill>
      <patternFill patternType="gray0625"/>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indexed="8"/>
      </bottom>
      <diagonal/>
    </border>
    <border>
      <left/>
      <right/>
      <top style="thin">
        <color indexed="8"/>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style="double">
        <color auto="1"/>
      </left>
      <right style="double">
        <color auto="1"/>
      </right>
      <top style="double">
        <color auto="1"/>
      </top>
      <bottom style="double">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style="thin">
        <color auto="1"/>
      </top>
      <bottom style="double">
        <color auto="1"/>
      </bottom>
      <diagonal/>
    </border>
    <border>
      <left style="double">
        <color auto="1"/>
      </left>
      <right/>
      <top/>
      <bottom style="hair">
        <color auto="1"/>
      </bottom>
      <diagonal/>
    </border>
    <border>
      <left/>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style="thin">
        <color auto="1"/>
      </left>
      <right style="thin">
        <color auto="1"/>
      </right>
      <top/>
      <bottom/>
      <diagonal/>
    </border>
  </borders>
  <cellStyleXfs count="63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9" borderId="14"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5" applyNumberFormat="0" applyFill="0" applyAlignment="0" applyProtection="0">
      <alignment vertical="center"/>
    </xf>
    <xf numFmtId="0" fontId="69" fillId="0" borderId="15" applyNumberFormat="0" applyFill="0" applyAlignment="0" applyProtection="0">
      <alignment vertical="center"/>
    </xf>
    <xf numFmtId="0" fontId="70" fillId="0" borderId="16" applyNumberFormat="0" applyFill="0" applyAlignment="0" applyProtection="0">
      <alignment vertical="center"/>
    </xf>
    <xf numFmtId="0" fontId="70" fillId="0" borderId="0" applyNumberFormat="0" applyFill="0" applyBorder="0" applyAlignment="0" applyProtection="0">
      <alignment vertical="center"/>
    </xf>
    <xf numFmtId="0" fontId="71" fillId="10" borderId="17" applyNumberFormat="0" applyAlignment="0" applyProtection="0">
      <alignment vertical="center"/>
    </xf>
    <xf numFmtId="0" fontId="72" fillId="11" borderId="18" applyNumberFormat="0" applyAlignment="0" applyProtection="0">
      <alignment vertical="center"/>
    </xf>
    <xf numFmtId="0" fontId="73" fillId="11" borderId="17" applyNumberFormat="0" applyAlignment="0" applyProtection="0">
      <alignment vertical="center"/>
    </xf>
    <xf numFmtId="0" fontId="74" fillId="12" borderId="19" applyNumberFormat="0" applyAlignment="0" applyProtection="0">
      <alignment vertical="center"/>
    </xf>
    <xf numFmtId="0" fontId="75" fillId="0" borderId="20" applyNumberFormat="0" applyFill="0" applyAlignment="0" applyProtection="0">
      <alignment vertical="center"/>
    </xf>
    <xf numFmtId="0" fontId="76" fillId="0" borderId="21" applyNumberFormat="0" applyFill="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81"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81" fillId="21" borderId="0" applyNumberFormat="0" applyBorder="0" applyAlignment="0" applyProtection="0">
      <alignment vertical="center"/>
    </xf>
    <xf numFmtId="0" fontId="81"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81" fillId="25" borderId="0" applyNumberFormat="0" applyBorder="0" applyAlignment="0" applyProtection="0">
      <alignment vertical="center"/>
    </xf>
    <xf numFmtId="0" fontId="81"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81" fillId="29" borderId="0" applyNumberFormat="0" applyBorder="0" applyAlignment="0" applyProtection="0">
      <alignment vertical="center"/>
    </xf>
    <xf numFmtId="0" fontId="81"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81" fillId="33" borderId="0" applyNumberFormat="0" applyBorder="0" applyAlignment="0" applyProtection="0">
      <alignment vertical="center"/>
    </xf>
    <xf numFmtId="0" fontId="81" fillId="34" borderId="0" applyNumberFormat="0" applyBorder="0" applyAlignment="0" applyProtection="0">
      <alignment vertical="center"/>
    </xf>
    <xf numFmtId="0" fontId="80" fillId="35" borderId="0" applyNumberFormat="0" applyBorder="0" applyAlignment="0" applyProtection="0">
      <alignment vertical="center"/>
    </xf>
    <xf numFmtId="0" fontId="80" fillId="36" borderId="0" applyNumberFormat="0" applyBorder="0" applyAlignment="0" applyProtection="0">
      <alignment vertical="center"/>
    </xf>
    <xf numFmtId="0" fontId="81" fillId="37" borderId="0" applyNumberFormat="0" applyBorder="0" applyAlignment="0" applyProtection="0">
      <alignment vertical="center"/>
    </xf>
    <xf numFmtId="0" fontId="81" fillId="38" borderId="0" applyNumberFormat="0" applyBorder="0" applyAlignment="0" applyProtection="0">
      <alignment vertical="center"/>
    </xf>
    <xf numFmtId="0" fontId="80" fillId="39" borderId="0" applyNumberFormat="0" applyBorder="0" applyAlignment="0" applyProtection="0">
      <alignment vertical="center"/>
    </xf>
    <xf numFmtId="0" fontId="82" fillId="40" borderId="0" applyNumberFormat="0" applyBorder="0" applyAlignment="0" applyProtection="0">
      <alignment vertical="center"/>
    </xf>
    <xf numFmtId="0" fontId="83" fillId="41" borderId="0" applyNumberFormat="0" applyBorder="0" applyAlignment="0" applyProtection="0">
      <alignment vertical="center"/>
    </xf>
    <xf numFmtId="0" fontId="84" fillId="42" borderId="22" applyNumberFormat="0" applyAlignment="0" applyProtection="0">
      <alignment vertical="center"/>
    </xf>
    <xf numFmtId="0" fontId="85" fillId="43" borderId="0">
      <alignment vertical="center"/>
    </xf>
    <xf numFmtId="0" fontId="86" fillId="44" borderId="0" applyNumberFormat="0" applyBorder="0" applyAlignment="0" applyProtection="0">
      <alignment vertical="center"/>
    </xf>
    <xf numFmtId="176" fontId="87" fillId="45" borderId="0" applyNumberFormat="0" applyBorder="0" applyAlignment="0" applyProtection="0"/>
    <xf numFmtId="0" fontId="12" fillId="0" borderId="0" applyProtection="0"/>
    <xf numFmtId="0" fontId="88" fillId="0" borderId="0">
      <alignment horizontal="center" vertical="center" wrapText="1"/>
      <protection locked="0"/>
    </xf>
    <xf numFmtId="0" fontId="89" fillId="0" borderId="0" applyNumberFormat="0" applyFill="0" applyBorder="0" applyAlignment="0" applyProtection="0">
      <alignment vertical="top"/>
      <protection locked="0"/>
    </xf>
    <xf numFmtId="0" fontId="90" fillId="46" borderId="0" applyNumberFormat="0" applyBorder="0" applyAlignment="0" applyProtection="0"/>
    <xf numFmtId="0" fontId="91" fillId="47" borderId="0" applyNumberFormat="0" applyBorder="0" applyAlignment="0" applyProtection="0">
      <alignment vertical="center"/>
    </xf>
    <xf numFmtId="177" fontId="92" fillId="0" borderId="0" applyFill="0" applyBorder="0" applyAlignment="0"/>
    <xf numFmtId="0" fontId="91" fillId="48" borderId="0" applyNumberFormat="0" applyBorder="0" applyAlignment="0" applyProtection="0">
      <alignment vertical="center"/>
    </xf>
    <xf numFmtId="178" fontId="92" fillId="0" borderId="23" applyFill="0" applyProtection="0">
      <alignment horizontal="right"/>
    </xf>
    <xf numFmtId="0" fontId="93" fillId="0" borderId="0" applyNumberFormat="0" applyFill="0" applyBorder="0" applyAlignment="0" applyProtection="0">
      <alignment vertical="center"/>
    </xf>
    <xf numFmtId="0" fontId="94" fillId="42" borderId="0" applyNumberFormat="0" applyBorder="0" applyAlignment="0" applyProtection="0"/>
    <xf numFmtId="3" fontId="95" fillId="0" borderId="24" applyProtection="0"/>
    <xf numFmtId="0" fontId="96" fillId="0" borderId="0" applyNumberFormat="0" applyFill="0" applyBorder="0" applyAlignment="0" applyProtection="0">
      <alignment vertical="center"/>
    </xf>
    <xf numFmtId="179" fontId="12" fillId="0" borderId="0" applyFont="0" applyFill="0" applyBorder="0" applyAlignment="0" applyProtection="0">
      <alignment vertical="center"/>
    </xf>
    <xf numFmtId="176" fontId="97" fillId="49" borderId="0" applyNumberFormat="0" applyBorder="0" applyAlignment="0" applyProtection="0">
      <alignment vertical="center"/>
    </xf>
    <xf numFmtId="0" fontId="98" fillId="0" borderId="0" applyNumberFormat="0" applyAlignment="0">
      <alignment horizontal="left" vertical="center"/>
    </xf>
    <xf numFmtId="176" fontId="99" fillId="0" borderId="0"/>
    <xf numFmtId="180" fontId="12" fillId="0" borderId="0" applyFont="0" applyFill="0" applyBorder="0" applyAlignment="0" applyProtection="0">
      <alignment vertical="center"/>
    </xf>
    <xf numFmtId="0" fontId="12" fillId="0" borderId="0">
      <alignment vertical="top"/>
    </xf>
    <xf numFmtId="0" fontId="100" fillId="0" borderId="25" applyNumberFormat="0" applyFill="0" applyAlignment="0" applyProtection="0">
      <alignment vertical="center"/>
    </xf>
    <xf numFmtId="176" fontId="101" fillId="0" borderId="0">
      <alignment vertical="center"/>
    </xf>
    <xf numFmtId="181" fontId="99" fillId="0" borderId="0" applyFill="0" applyBorder="0" applyAlignment="0"/>
    <xf numFmtId="182" fontId="92" fillId="0" borderId="0" applyFont="0" applyFill="0" applyBorder="0" applyAlignment="0" applyProtection="0">
      <alignment vertical="center"/>
    </xf>
    <xf numFmtId="0" fontId="102" fillId="50" borderId="0" applyNumberFormat="0" applyBorder="0" applyAlignment="0" applyProtection="0">
      <alignment vertical="center"/>
    </xf>
    <xf numFmtId="183" fontId="92" fillId="0" borderId="0" applyFont="0" applyFill="0" applyBorder="0" applyAlignment="0" applyProtection="0"/>
    <xf numFmtId="0" fontId="103" fillId="51" borderId="26" applyNumberFormat="0" applyFont="0" applyAlignment="0" applyProtection="0">
      <alignment vertical="center"/>
    </xf>
    <xf numFmtId="176" fontId="94" fillId="52" borderId="0" applyNumberFormat="0" applyBorder="0" applyAlignment="0" applyProtection="0">
      <alignment vertical="center"/>
    </xf>
    <xf numFmtId="0" fontId="104" fillId="0" borderId="0"/>
    <xf numFmtId="0" fontId="105" fillId="53" borderId="0"/>
    <xf numFmtId="0" fontId="12" fillId="0" borderId="0">
      <alignment vertical="center"/>
    </xf>
    <xf numFmtId="0" fontId="99" fillId="0" borderId="0">
      <alignment vertical="center"/>
    </xf>
    <xf numFmtId="0" fontId="106" fillId="14" borderId="0" applyNumberFormat="0" applyBorder="0" applyAlignment="0" applyProtection="0">
      <alignment vertical="center"/>
    </xf>
    <xf numFmtId="184" fontId="12" fillId="0" borderId="0" applyFont="0" applyFill="0" applyBorder="0" applyAlignment="0" applyProtection="0">
      <alignment vertical="center"/>
    </xf>
    <xf numFmtId="0" fontId="92" fillId="0" borderId="0">
      <alignment vertical="center"/>
    </xf>
    <xf numFmtId="0" fontId="107" fillId="44" borderId="27" applyNumberFormat="0" applyAlignment="0" applyProtection="0">
      <alignment vertical="center"/>
    </xf>
    <xf numFmtId="185" fontId="108" fillId="0" borderId="0" applyFont="0" applyFill="0" applyBorder="0" applyAlignment="0" applyProtection="0">
      <alignment vertical="center"/>
    </xf>
    <xf numFmtId="0" fontId="108" fillId="51" borderId="26" applyNumberFormat="0" applyFont="0" applyAlignment="0" applyProtection="0">
      <alignment vertical="center"/>
    </xf>
    <xf numFmtId="176" fontId="109" fillId="0" borderId="0" applyNumberFormat="0" applyFill="0" applyBorder="0" applyAlignment="0" applyProtection="0">
      <alignment vertical="center"/>
    </xf>
    <xf numFmtId="0" fontId="110" fillId="0" borderId="28">
      <alignment horizontal="center"/>
    </xf>
    <xf numFmtId="9" fontId="99" fillId="0" borderId="0" applyFont="0" applyFill="0" applyBorder="0" applyAlignment="0" applyProtection="0">
      <alignment vertical="center"/>
    </xf>
    <xf numFmtId="0" fontId="111" fillId="0" borderId="29" applyNumberFormat="0" applyFill="0" applyAlignment="0" applyProtection="0">
      <alignment vertical="center"/>
    </xf>
    <xf numFmtId="0" fontId="112" fillId="44" borderId="27" applyNumberFormat="0" applyAlignment="0" applyProtection="0">
      <alignment vertical="center"/>
    </xf>
    <xf numFmtId="0" fontId="93" fillId="0" borderId="29" applyNumberFormat="0" applyFill="0" applyAlignment="0" applyProtection="0">
      <alignment vertical="center"/>
    </xf>
    <xf numFmtId="0" fontId="12" fillId="0" borderId="0">
      <alignment vertical="center"/>
    </xf>
    <xf numFmtId="0" fontId="12" fillId="51" borderId="26" applyNumberFormat="0" applyFont="0" applyAlignment="0" applyProtection="0">
      <alignment vertical="center"/>
    </xf>
    <xf numFmtId="0" fontId="113" fillId="0" borderId="0"/>
    <xf numFmtId="0" fontId="114" fillId="0" borderId="0"/>
    <xf numFmtId="0" fontId="115" fillId="0" borderId="0" applyNumberFormat="0" applyFill="0" applyBorder="0" applyAlignment="0" applyProtection="0">
      <alignment vertical="center"/>
    </xf>
    <xf numFmtId="0" fontId="91" fillId="49" borderId="0" applyNumberFormat="0" applyBorder="0" applyAlignment="0" applyProtection="0">
      <alignment vertical="center"/>
    </xf>
    <xf numFmtId="0" fontId="91" fillId="54" borderId="0" applyNumberFormat="0" applyBorder="0" applyAlignment="0" applyProtection="0">
      <alignment vertical="center"/>
    </xf>
    <xf numFmtId="0" fontId="90" fillId="46" borderId="0" applyNumberFormat="0" applyBorder="0" applyAlignment="0" applyProtection="0">
      <alignment vertical="center"/>
    </xf>
    <xf numFmtId="0" fontId="116" fillId="0" borderId="0" applyNumberFormat="0" applyFill="0" applyBorder="0" applyAlignment="0" applyProtection="0">
      <alignment vertical="center"/>
    </xf>
    <xf numFmtId="0" fontId="12" fillId="0" borderId="0" applyNumberFormat="0" applyFont="0" applyFill="0" applyBorder="0" applyAlignment="0" applyProtection="0">
      <alignment horizontal="left" vertical="center"/>
    </xf>
    <xf numFmtId="0" fontId="91" fillId="55" borderId="0" applyNumberFormat="0" applyBorder="0" applyAlignment="0" applyProtection="0">
      <alignment vertical="center"/>
    </xf>
    <xf numFmtId="176" fontId="90" fillId="46" borderId="0" applyNumberFormat="0" applyBorder="0" applyAlignment="0" applyProtection="0"/>
    <xf numFmtId="0" fontId="117" fillId="0" borderId="30" applyNumberFormat="0" applyFill="0" applyAlignment="0" applyProtection="0">
      <alignment vertical="center"/>
    </xf>
    <xf numFmtId="0" fontId="91" fillId="44" borderId="0" applyNumberFormat="0" applyBorder="0" applyAlignment="0" applyProtection="0">
      <alignment vertical="center"/>
    </xf>
    <xf numFmtId="0" fontId="94" fillId="41" borderId="0" applyNumberFormat="0" applyBorder="0" applyAlignment="0" applyProtection="0"/>
    <xf numFmtId="0" fontId="110" fillId="0" borderId="0">
      <alignment horizontal="center"/>
    </xf>
    <xf numFmtId="186" fontId="92" fillId="0" borderId="0" applyFont="0" applyFill="0" applyBorder="0" applyAlignment="0" applyProtection="0"/>
    <xf numFmtId="182" fontId="92" fillId="0" borderId="0" applyFont="0" applyFill="0" applyBorder="0" applyAlignment="0" applyProtection="0"/>
    <xf numFmtId="0" fontId="118" fillId="46" borderId="31" applyNumberFormat="0" applyAlignment="0" applyProtection="0">
      <alignment vertical="center"/>
    </xf>
    <xf numFmtId="0" fontId="119" fillId="46" borderId="31" applyNumberFormat="0" applyAlignment="0" applyProtection="0">
      <alignment vertical="center"/>
    </xf>
    <xf numFmtId="0" fontId="103" fillId="56" borderId="0" applyNumberFormat="0" applyBorder="0" applyAlignment="0" applyProtection="0">
      <alignment vertical="center"/>
    </xf>
    <xf numFmtId="0" fontId="120" fillId="49" borderId="0" applyNumberFormat="0" applyBorder="0" applyAlignment="0" applyProtection="0"/>
    <xf numFmtId="0" fontId="121" fillId="0" borderId="0" applyNumberFormat="0" applyFill="0" applyBorder="0" applyAlignment="0" applyProtection="0">
      <alignment vertical="center"/>
    </xf>
    <xf numFmtId="0" fontId="122" fillId="46" borderId="31" applyNumberFormat="0" applyAlignment="0" applyProtection="0">
      <alignment vertical="center"/>
    </xf>
    <xf numFmtId="176" fontId="12" fillId="0" borderId="0">
      <alignment vertical="center"/>
    </xf>
    <xf numFmtId="40" fontId="123" fillId="0" borderId="0" applyFont="0" applyFill="0" applyBorder="0" applyAlignment="0" applyProtection="0">
      <alignment vertical="center"/>
    </xf>
    <xf numFmtId="0" fontId="124" fillId="57" borderId="0" applyNumberFormat="0" applyBorder="0" applyAlignment="0" applyProtection="0">
      <alignment vertical="center"/>
    </xf>
    <xf numFmtId="187" fontId="92" fillId="0" borderId="0" applyFont="0" applyFill="0" applyBorder="0" applyAlignment="0" applyProtection="0"/>
    <xf numFmtId="0" fontId="125" fillId="44" borderId="27" applyNumberFormat="0" applyAlignment="0" applyProtection="0">
      <alignment vertical="center"/>
    </xf>
    <xf numFmtId="0" fontId="111" fillId="0" borderId="0" applyNumberFormat="0" applyFill="0" applyBorder="0" applyAlignment="0" applyProtection="0">
      <alignment vertical="center"/>
    </xf>
    <xf numFmtId="179" fontId="92" fillId="0" borderId="0" applyFont="0" applyFill="0" applyBorder="0" applyAlignment="0" applyProtection="0"/>
    <xf numFmtId="0" fontId="126" fillId="0" borderId="0" applyNumberFormat="0" applyFill="0" applyBorder="0" applyAlignment="0" applyProtection="0">
      <alignment vertical="top"/>
      <protection locked="0"/>
    </xf>
    <xf numFmtId="0" fontId="92" fillId="0" borderId="0"/>
    <xf numFmtId="0" fontId="94" fillId="42" borderId="0" applyNumberFormat="0" applyBorder="0" applyAlignment="0" applyProtection="0">
      <alignment vertical="center"/>
    </xf>
    <xf numFmtId="40" fontId="127" fillId="0" borderId="0" applyBorder="0">
      <alignment horizontal="right" vertical="center"/>
    </xf>
    <xf numFmtId="0" fontId="128" fillId="0" borderId="0"/>
    <xf numFmtId="0" fontId="129" fillId="0" borderId="0" applyNumberFormat="0" applyFill="0" applyBorder="0" applyAlignment="0" applyProtection="0"/>
    <xf numFmtId="176" fontId="130" fillId="49" borderId="0" applyNumberFormat="0" applyBorder="0" applyAlignment="0" applyProtection="0">
      <alignment vertical="center"/>
    </xf>
    <xf numFmtId="0" fontId="131" fillId="46" borderId="31" applyNumberFormat="0" applyAlignment="0" applyProtection="0">
      <alignment vertical="center"/>
    </xf>
    <xf numFmtId="43" fontId="92" fillId="0" borderId="0" applyFont="0" applyFill="0" applyBorder="0" applyAlignment="0" applyProtection="0"/>
    <xf numFmtId="0" fontId="132" fillId="0" borderId="32" applyNumberFormat="0" applyFill="0" applyAlignment="0" applyProtection="0">
      <alignment vertical="center"/>
    </xf>
    <xf numFmtId="0" fontId="133" fillId="44" borderId="27" applyNumberFormat="0" applyAlignment="0" applyProtection="0">
      <alignment vertical="center"/>
    </xf>
    <xf numFmtId="0" fontId="134" fillId="46" borderId="27" applyNumberFormat="0" applyAlignment="0" applyProtection="0">
      <alignment vertical="center"/>
    </xf>
    <xf numFmtId="0" fontId="92" fillId="58" borderId="0">
      <alignment vertical="center"/>
    </xf>
    <xf numFmtId="49" fontId="92" fillId="0" borderId="0" applyFont="0" applyFill="0" applyBorder="0" applyAlignment="0" applyProtection="0"/>
    <xf numFmtId="176" fontId="135" fillId="0" borderId="0" applyNumberFormat="0" applyFill="0" applyBorder="0" applyAlignment="0" applyProtection="0">
      <alignment vertical="top"/>
      <protection locked="0"/>
    </xf>
    <xf numFmtId="0" fontId="86" fillId="42" borderId="0" applyNumberFormat="0" applyBorder="0" applyAlignment="0" applyProtection="0">
      <alignment vertical="center"/>
    </xf>
    <xf numFmtId="0" fontId="136" fillId="0" borderId="0">
      <alignment vertical="center"/>
    </xf>
    <xf numFmtId="0" fontId="137" fillId="0" borderId="25" applyNumberFormat="0" applyFill="0" applyAlignment="0" applyProtection="0">
      <alignment vertical="center"/>
    </xf>
    <xf numFmtId="0" fontId="138" fillId="0" borderId="0">
      <alignment vertical="center"/>
    </xf>
    <xf numFmtId="0" fontId="92" fillId="0" borderId="0" applyBorder="0">
      <alignment vertical="center"/>
    </xf>
    <xf numFmtId="0" fontId="139" fillId="0" borderId="0">
      <alignment horizontal="left" vertical="center"/>
    </xf>
    <xf numFmtId="0" fontId="140" fillId="54" borderId="0" applyNumberFormat="0" applyBorder="0" applyAlignment="0" applyProtection="0">
      <alignment vertical="center"/>
    </xf>
    <xf numFmtId="0" fontId="94" fillId="59" borderId="0" applyNumberFormat="0" applyBorder="0" applyAlignment="0" applyProtection="0">
      <alignment vertical="center"/>
    </xf>
    <xf numFmtId="0" fontId="103" fillId="0" borderId="0" applyProtection="0">
      <alignment vertical="center"/>
    </xf>
    <xf numFmtId="0" fontId="136" fillId="0" borderId="0"/>
    <xf numFmtId="0" fontId="141" fillId="48" borderId="0" applyNumberFormat="0" applyBorder="0" applyAlignment="0" applyProtection="0">
      <alignment vertical="center"/>
    </xf>
    <xf numFmtId="176" fontId="136" fillId="0" borderId="0">
      <alignment vertical="center"/>
    </xf>
    <xf numFmtId="0" fontId="138" fillId="0" borderId="0"/>
    <xf numFmtId="176" fontId="138" fillId="0" borderId="0">
      <alignment vertical="center"/>
    </xf>
    <xf numFmtId="176" fontId="92" fillId="0" borderId="0">
      <alignment vertical="center"/>
    </xf>
    <xf numFmtId="0" fontId="103" fillId="60" borderId="0" applyNumberFormat="0" applyBorder="0" applyAlignment="0" applyProtection="0">
      <alignment vertical="center"/>
    </xf>
    <xf numFmtId="176" fontId="99" fillId="0" borderId="0">
      <alignment vertical="center"/>
    </xf>
    <xf numFmtId="0" fontId="92" fillId="0" borderId="0">
      <alignment horizontal="justify" vertical="justify" wrapText="1"/>
      <protection hidden="1"/>
    </xf>
    <xf numFmtId="0" fontId="142" fillId="0" borderId="0"/>
    <xf numFmtId="0" fontId="12" fillId="0" borderId="0" applyFont="0" applyBorder="0" applyAlignment="0">
      <alignment vertical="center"/>
    </xf>
    <xf numFmtId="0" fontId="143" fillId="0" borderId="0" applyNumberFormat="0" applyFill="0" applyBorder="0" applyAlignment="0" applyProtection="0"/>
    <xf numFmtId="0" fontId="82" fillId="55" borderId="0" applyNumberFormat="0" applyBorder="0" applyAlignment="0" applyProtection="0">
      <alignment vertical="center"/>
    </xf>
    <xf numFmtId="0" fontId="144" fillId="0" borderId="11"/>
    <xf numFmtId="176" fontId="136" fillId="0" borderId="0"/>
    <xf numFmtId="0" fontId="101" fillId="0" borderId="0"/>
    <xf numFmtId="0" fontId="83" fillId="61" borderId="0" applyNumberFormat="0" applyBorder="0" applyAlignment="0" applyProtection="0">
      <alignment vertical="center"/>
    </xf>
    <xf numFmtId="0" fontId="145" fillId="0" borderId="30" applyNumberFormat="0" applyFill="0" applyAlignment="0" applyProtection="0">
      <alignment vertical="center"/>
    </xf>
    <xf numFmtId="0" fontId="146" fillId="56" borderId="0">
      <alignment horizontal="right" vertical="center"/>
    </xf>
    <xf numFmtId="2" fontId="92" fillId="0" borderId="0" applyFont="0" applyFill="0" applyBorder="0" applyAlignment="0" applyProtection="0"/>
    <xf numFmtId="43" fontId="12" fillId="0" borderId="0" applyFont="0" applyFill="0" applyBorder="0" applyAlignment="0" applyProtection="0"/>
    <xf numFmtId="0" fontId="147" fillId="49" borderId="0" applyNumberFormat="0" applyBorder="0" applyAlignment="0" applyProtection="0">
      <alignment vertical="center"/>
    </xf>
    <xf numFmtId="176" fontId="148" fillId="62" borderId="0" applyNumberFormat="0" applyBorder="0" applyAlignment="0" applyProtection="0">
      <alignment vertical="center"/>
    </xf>
    <xf numFmtId="0" fontId="149" fillId="46" borderId="27" applyNumberFormat="0" applyAlignment="0" applyProtection="0">
      <alignment vertical="center"/>
    </xf>
    <xf numFmtId="43" fontId="99" fillId="0" borderId="0" applyFont="0" applyFill="0" applyBorder="0" applyAlignment="0" applyProtection="0">
      <alignment vertical="center"/>
    </xf>
    <xf numFmtId="176" fontId="150" fillId="0" borderId="33">
      <alignment horizontal="left" vertical="center"/>
    </xf>
    <xf numFmtId="0" fontId="151" fillId="0" borderId="0" applyNumberFormat="0" applyFill="0" applyBorder="0" applyAlignment="0" applyProtection="0">
      <alignment vertical="top"/>
      <protection locked="0"/>
    </xf>
    <xf numFmtId="0" fontId="152" fillId="0" borderId="0"/>
    <xf numFmtId="0" fontId="92" fillId="51" borderId="26" applyNumberFormat="0" applyFont="0" applyAlignment="0" applyProtection="0">
      <alignment vertical="center"/>
    </xf>
    <xf numFmtId="0" fontId="103" fillId="0" borderId="0"/>
    <xf numFmtId="188" fontId="153" fillId="0" borderId="34" applyNumberFormat="0">
      <alignment vertical="center"/>
    </xf>
    <xf numFmtId="189" fontId="154" fillId="0" borderId="0" applyFill="0" applyBorder="0" applyAlignment="0">
      <alignment vertical="center"/>
    </xf>
    <xf numFmtId="0" fontId="103" fillId="63" borderId="0" applyNumberFormat="0" applyBorder="0" applyAlignment="0" applyProtection="0">
      <alignment vertical="center"/>
    </xf>
    <xf numFmtId="0" fontId="90" fillId="63" borderId="0" applyNumberFormat="0" applyBorder="0" applyAlignment="0" applyProtection="0"/>
    <xf numFmtId="0" fontId="103" fillId="49" borderId="0" applyNumberFormat="0" applyBorder="0" applyAlignment="0" applyProtection="0">
      <alignment vertical="center"/>
    </xf>
    <xf numFmtId="0" fontId="103" fillId="54" borderId="0" applyNumberFormat="0" applyBorder="0" applyAlignment="0" applyProtection="0">
      <alignment vertical="center"/>
    </xf>
    <xf numFmtId="0" fontId="103" fillId="47" borderId="0" applyNumberFormat="0" applyBorder="0" applyAlignment="0" applyProtection="0">
      <alignment vertical="center"/>
    </xf>
    <xf numFmtId="0" fontId="94" fillId="44" borderId="0" applyNumberFormat="0" applyBorder="0" applyAlignment="0" applyProtection="0">
      <alignment vertical="center"/>
    </xf>
    <xf numFmtId="0" fontId="103" fillId="55" borderId="0" applyNumberFormat="0" applyBorder="0" applyAlignment="0" applyProtection="0">
      <alignment vertical="center"/>
    </xf>
    <xf numFmtId="0" fontId="103" fillId="44" borderId="0" applyNumberFormat="0" applyBorder="0" applyAlignment="0" applyProtection="0">
      <alignment vertical="center"/>
    </xf>
    <xf numFmtId="176" fontId="94" fillId="44" borderId="0" applyNumberFormat="0" applyBorder="0" applyAlignment="0" applyProtection="0"/>
    <xf numFmtId="0" fontId="141" fillId="63" borderId="0" applyNumberFormat="0" applyBorder="0" applyAlignment="0" applyProtection="0">
      <alignment vertical="center"/>
    </xf>
    <xf numFmtId="0" fontId="141" fillId="49" borderId="0" applyNumberFormat="0" applyBorder="0" applyAlignment="0" applyProtection="0">
      <alignment vertical="center"/>
    </xf>
    <xf numFmtId="0" fontId="141" fillId="54" borderId="0" applyNumberFormat="0" applyBorder="0" applyAlignment="0" applyProtection="0">
      <alignment vertical="center"/>
    </xf>
    <xf numFmtId="0" fontId="141" fillId="47" borderId="0" applyNumberFormat="0" applyBorder="0" applyAlignment="0" applyProtection="0">
      <alignment vertical="center"/>
    </xf>
    <xf numFmtId="0" fontId="141" fillId="55" borderId="0" applyNumberFormat="0" applyBorder="0" applyAlignment="0" applyProtection="0">
      <alignment vertical="center"/>
    </xf>
    <xf numFmtId="176" fontId="90" fillId="64" borderId="0" applyNumberFormat="0" applyBorder="0" applyAlignment="0" applyProtection="0">
      <alignment vertical="center"/>
    </xf>
    <xf numFmtId="0" fontId="83" fillId="65" borderId="0" applyNumberFormat="0" applyBorder="0" applyAlignment="0" applyProtection="0">
      <alignment vertical="center"/>
    </xf>
    <xf numFmtId="0" fontId="90" fillId="55" borderId="0" applyNumberFormat="0" applyBorder="0" applyAlignment="0" applyProtection="0"/>
    <xf numFmtId="0" fontId="99" fillId="0" borderId="0"/>
    <xf numFmtId="0" fontId="141" fillId="44" borderId="0" applyNumberFormat="0" applyBorder="0" applyAlignment="0" applyProtection="0">
      <alignment vertical="center"/>
    </xf>
    <xf numFmtId="0" fontId="90" fillId="64" borderId="0" applyNumberFormat="0" applyBorder="0" applyAlignment="0" applyProtection="0">
      <alignment vertical="center"/>
    </xf>
    <xf numFmtId="0" fontId="83" fillId="57" borderId="0" applyNumberFormat="0" applyBorder="0" applyAlignment="0" applyProtection="0">
      <alignment vertical="center"/>
    </xf>
    <xf numFmtId="0" fontId="91" fillId="63" borderId="0" applyNumberFormat="0" applyBorder="0" applyAlignment="0" applyProtection="0">
      <alignment vertical="center"/>
    </xf>
    <xf numFmtId="0" fontId="82" fillId="63" borderId="0" applyNumberFormat="0" applyBorder="0" applyAlignment="0" applyProtection="0">
      <alignment vertical="center"/>
    </xf>
    <xf numFmtId="0" fontId="82" fillId="49" borderId="0" applyNumberFormat="0" applyBorder="0" applyAlignment="0" applyProtection="0">
      <alignment vertical="center"/>
    </xf>
    <xf numFmtId="0" fontId="155" fillId="42" borderId="22" applyNumberFormat="0" applyAlignment="0" applyProtection="0">
      <alignment vertical="center"/>
    </xf>
    <xf numFmtId="4" fontId="128" fillId="0" borderId="0" applyFont="0" applyFill="0" applyBorder="0" applyAlignment="0" applyProtection="0"/>
    <xf numFmtId="0" fontId="82" fillId="54" borderId="0" applyNumberFormat="0" applyBorder="0" applyAlignment="0" applyProtection="0">
      <alignment vertical="center"/>
    </xf>
    <xf numFmtId="0" fontId="82" fillId="47" borderId="0" applyNumberFormat="0" applyBorder="0" applyAlignment="0" applyProtection="0">
      <alignment vertical="center"/>
    </xf>
    <xf numFmtId="0" fontId="82" fillId="44" borderId="0" applyNumberFormat="0" applyBorder="0" applyAlignment="0" applyProtection="0">
      <alignment vertical="center"/>
    </xf>
    <xf numFmtId="176" fontId="156" fillId="56" borderId="0">
      <alignment horizontal="right" vertical="center" wrapText="1"/>
    </xf>
    <xf numFmtId="0" fontId="103" fillId="51" borderId="0" applyNumberFormat="0" applyBorder="0" applyAlignment="0" applyProtection="0">
      <alignment vertical="center"/>
    </xf>
    <xf numFmtId="0" fontId="152" fillId="0" borderId="0" applyFont="0" applyFill="0" applyBorder="0" applyAlignment="0" applyProtection="0"/>
    <xf numFmtId="0" fontId="103" fillId="48" borderId="0" applyNumberFormat="0" applyBorder="0" applyAlignment="0" applyProtection="0">
      <alignment vertical="center"/>
    </xf>
    <xf numFmtId="0" fontId="103" fillId="66" borderId="0" applyNumberFormat="0" applyBorder="0" applyAlignment="0" applyProtection="0">
      <alignment vertical="center"/>
    </xf>
    <xf numFmtId="0" fontId="103" fillId="40" borderId="0" applyNumberFormat="0" applyBorder="0" applyAlignment="0" applyProtection="0">
      <alignment vertical="center"/>
    </xf>
    <xf numFmtId="0" fontId="141" fillId="60" borderId="0" applyNumberFormat="0" applyBorder="0" applyAlignment="0" applyProtection="0">
      <alignment vertical="center"/>
    </xf>
    <xf numFmtId="0" fontId="141" fillId="66" borderId="0" applyNumberFormat="0" applyBorder="0" applyAlignment="0" applyProtection="0">
      <alignment vertical="center"/>
    </xf>
    <xf numFmtId="0" fontId="141" fillId="40" borderId="0" applyNumberFormat="0" applyBorder="0" applyAlignment="0" applyProtection="0">
      <alignment vertical="center"/>
    </xf>
    <xf numFmtId="0" fontId="91" fillId="60" borderId="0" applyNumberFormat="0" applyBorder="0" applyAlignment="0" applyProtection="0">
      <alignment vertical="center"/>
    </xf>
    <xf numFmtId="0" fontId="91" fillId="66" borderId="0" applyNumberFormat="0" applyBorder="0" applyAlignment="0" applyProtection="0">
      <alignment vertical="center"/>
    </xf>
    <xf numFmtId="0" fontId="91" fillId="40" borderId="0" applyNumberFormat="0" applyBorder="0" applyAlignment="0" applyProtection="0">
      <alignment vertical="center"/>
    </xf>
    <xf numFmtId="0" fontId="82" fillId="60" borderId="0" applyNumberFormat="0" applyBorder="0" applyAlignment="0" applyProtection="0">
      <alignment vertical="center"/>
    </xf>
    <xf numFmtId="0" fontId="83" fillId="67" borderId="0" applyNumberFormat="0" applyBorder="0" applyAlignment="0" applyProtection="0">
      <alignment vertical="center"/>
    </xf>
    <xf numFmtId="0" fontId="82" fillId="48" borderId="0" applyNumberFormat="0" applyBorder="0" applyAlignment="0" applyProtection="0">
      <alignment vertical="center"/>
    </xf>
    <xf numFmtId="0" fontId="83" fillId="48" borderId="0" applyNumberFormat="0" applyBorder="0" applyAlignment="0" applyProtection="0">
      <alignment vertical="center"/>
    </xf>
    <xf numFmtId="190" fontId="157" fillId="0" borderId="0" applyAlignment="0">
      <alignment horizontal="right" vertical="center"/>
      <protection hidden="1"/>
    </xf>
    <xf numFmtId="0" fontId="82" fillId="66" borderId="0" applyNumberFormat="0" applyBorder="0" applyAlignment="0" applyProtection="0">
      <alignment vertical="center"/>
    </xf>
    <xf numFmtId="0" fontId="83" fillId="66" borderId="0" applyNumberFormat="0" applyBorder="0" applyAlignment="0" applyProtection="0">
      <alignment vertical="center"/>
    </xf>
    <xf numFmtId="0" fontId="103" fillId="46" borderId="0" applyNumberFormat="0" applyBorder="0" applyAlignment="0" applyProtection="0">
      <alignment vertical="center"/>
    </xf>
    <xf numFmtId="0" fontId="103" fillId="68" borderId="0" applyNumberFormat="0" applyBorder="0" applyAlignment="0" applyProtection="0">
      <alignment vertical="center"/>
    </xf>
    <xf numFmtId="0" fontId="87" fillId="69" borderId="0" applyNumberFormat="0" applyBorder="0" applyAlignment="0" applyProtection="0"/>
    <xf numFmtId="0" fontId="86" fillId="67" borderId="0" applyNumberFormat="0" applyBorder="0" applyAlignment="0" applyProtection="0">
      <alignment vertical="center"/>
    </xf>
    <xf numFmtId="176" fontId="158" fillId="0" borderId="0" applyNumberFormat="0" applyFill="0" applyBorder="0" applyAlignment="0" applyProtection="0">
      <alignment vertical="top"/>
      <protection locked="0"/>
    </xf>
    <xf numFmtId="0" fontId="159" fillId="56" borderId="0">
      <alignment horizontal="center" vertical="center"/>
    </xf>
    <xf numFmtId="0" fontId="156" fillId="56" borderId="0">
      <alignment horizontal="left" vertical="center"/>
    </xf>
    <xf numFmtId="0" fontId="160" fillId="0" borderId="23" applyNumberFormat="0" applyFill="0" applyProtection="0">
      <alignment horizontal="center"/>
    </xf>
    <xf numFmtId="0" fontId="87" fillId="45" borderId="0" applyNumberFormat="0" applyBorder="0" applyAlignment="0" applyProtection="0"/>
    <xf numFmtId="0" fontId="86" fillId="48" borderId="0" applyNumberFormat="0" applyBorder="0" applyAlignment="0" applyProtection="0">
      <alignment vertical="center"/>
    </xf>
    <xf numFmtId="0" fontId="86" fillId="66" borderId="0" applyNumberFormat="0" applyBorder="0" applyAlignment="0" applyProtection="0">
      <alignment vertical="center"/>
    </xf>
    <xf numFmtId="0" fontId="12" fillId="0" borderId="0" applyNumberFormat="0" applyFill="0" applyBorder="0" applyAlignment="0" applyProtection="0">
      <alignment vertical="center"/>
    </xf>
    <xf numFmtId="176" fontId="156" fillId="56" borderId="0">
      <alignment horizontal="left" vertical="center" wrapText="1"/>
    </xf>
    <xf numFmtId="3" fontId="128" fillId="0" borderId="0" applyFont="0" applyFill="0" applyBorder="0" applyAlignment="0" applyProtection="0"/>
    <xf numFmtId="0" fontId="12" fillId="70" borderId="0" applyNumberFormat="0" applyFont="0" applyBorder="0" applyAlignment="0" applyProtection="0">
      <alignment vertical="center"/>
    </xf>
    <xf numFmtId="0" fontId="161" fillId="56" borderId="0">
      <alignment horizontal="center" vertical="center"/>
    </xf>
    <xf numFmtId="0" fontId="162" fillId="0" borderId="25" applyNumberFormat="0" applyFill="0" applyAlignment="0" applyProtection="0">
      <alignment vertical="center"/>
    </xf>
    <xf numFmtId="0" fontId="86" fillId="71" borderId="0" applyNumberFormat="0" applyBorder="0" applyAlignment="0" applyProtection="0">
      <alignment vertical="center"/>
    </xf>
    <xf numFmtId="14" fontId="88" fillId="0" borderId="0">
      <alignment horizontal="center" vertical="center" wrapText="1"/>
      <protection locked="0"/>
    </xf>
    <xf numFmtId="0" fontId="163" fillId="0" borderId="35" applyNumberFormat="0" applyFill="0" applyAlignment="0" applyProtection="0">
      <alignment vertical="center"/>
    </xf>
    <xf numFmtId="0" fontId="164" fillId="13" borderId="0" applyNumberFormat="0" applyBorder="0" applyAlignment="0" applyProtection="0">
      <alignment vertical="center"/>
    </xf>
    <xf numFmtId="0" fontId="86" fillId="50" borderId="0" applyNumberFormat="0" applyBorder="0" applyAlignment="0" applyProtection="0">
      <alignment vertical="center"/>
    </xf>
    <xf numFmtId="176" fontId="12" fillId="0" borderId="0" applyNumberFormat="0" applyFont="0" applyFill="0" applyBorder="0" applyAlignment="0" applyProtection="0">
      <alignment horizontal="left" vertical="center"/>
    </xf>
    <xf numFmtId="0" fontId="165" fillId="0" borderId="29" applyNumberFormat="0" applyFill="0" applyAlignment="0" applyProtection="0">
      <alignment vertical="center"/>
    </xf>
    <xf numFmtId="0" fontId="86" fillId="41" borderId="0" applyNumberFormat="0" applyBorder="0" applyAlignment="0" applyProtection="0">
      <alignment vertical="center"/>
    </xf>
    <xf numFmtId="176" fontId="94" fillId="72" borderId="0" applyNumberFormat="0" applyBorder="0" applyAlignment="0" applyProtection="0">
      <alignment vertical="center"/>
    </xf>
    <xf numFmtId="0" fontId="83" fillId="71" borderId="0" applyNumberFormat="0" applyBorder="0" applyAlignment="0" applyProtection="0">
      <alignment vertical="center"/>
    </xf>
    <xf numFmtId="9" fontId="166" fillId="0" borderId="0" applyFont="0" applyFill="0" applyBorder="0" applyAlignment="0" applyProtection="0">
      <alignment vertical="center"/>
    </xf>
    <xf numFmtId="0" fontId="83" fillId="50" borderId="0" applyNumberFormat="0" applyBorder="0" applyAlignment="0" applyProtection="0">
      <alignment vertical="center"/>
    </xf>
    <xf numFmtId="0" fontId="109" fillId="0" borderId="0" applyNumberFormat="0" applyFill="0" applyBorder="0" applyAlignment="0" applyProtection="0"/>
    <xf numFmtId="0" fontId="102" fillId="67" borderId="0" applyNumberFormat="0" applyBorder="0" applyAlignment="0" applyProtection="0">
      <alignment vertical="center"/>
    </xf>
    <xf numFmtId="176" fontId="92" fillId="0" borderId="12" applyNumberFormat="0" applyFill="0" applyProtection="0">
      <alignment horizontal="right" vertical="center"/>
    </xf>
    <xf numFmtId="191" fontId="136" fillId="0" borderId="36" applyFont="0" applyFill="0" applyAlignment="0" applyProtection="0">
      <alignment vertical="center"/>
    </xf>
    <xf numFmtId="0" fontId="167" fillId="0" borderId="0">
      <alignment vertical="center"/>
    </xf>
    <xf numFmtId="38" fontId="168" fillId="0" borderId="0" applyFont="0" applyFill="0" applyBorder="0" applyAlignment="0" applyProtection="0"/>
    <xf numFmtId="176" fontId="148" fillId="54" borderId="0" applyNumberFormat="0" applyBorder="0" applyAlignment="0" applyProtection="0">
      <alignment vertical="center"/>
    </xf>
    <xf numFmtId="0" fontId="102" fillId="48" borderId="0" applyNumberFormat="0" applyBorder="0" applyAlignment="0" applyProtection="0">
      <alignment vertical="center"/>
    </xf>
    <xf numFmtId="0" fontId="169" fillId="54" borderId="0" applyNumberFormat="0" applyBorder="0" applyAlignment="0" applyProtection="0">
      <alignment vertical="center"/>
    </xf>
    <xf numFmtId="0" fontId="12" fillId="0" borderId="0">
      <alignment vertical="center"/>
    </xf>
    <xf numFmtId="0" fontId="102" fillId="66" borderId="0" applyNumberFormat="0" applyBorder="0" applyAlignment="0" applyProtection="0">
      <alignment vertical="center"/>
    </xf>
    <xf numFmtId="0" fontId="102" fillId="71" borderId="0" applyNumberFormat="0" applyBorder="0" applyAlignment="0" applyProtection="0">
      <alignment vertical="center"/>
    </xf>
    <xf numFmtId="0" fontId="12" fillId="0" borderId="0"/>
    <xf numFmtId="0" fontId="170" fillId="0" borderId="35" applyProtection="0"/>
    <xf numFmtId="0" fontId="102" fillId="41" borderId="0" applyNumberFormat="0" applyBorder="0" applyAlignment="0" applyProtection="0">
      <alignment vertical="center"/>
    </xf>
    <xf numFmtId="192" fontId="166" fillId="0" borderId="0"/>
    <xf numFmtId="182" fontId="12" fillId="0" borderId="0" applyFont="0" applyFill="0" applyBorder="0" applyAlignment="0" applyProtection="0">
      <alignment vertical="center"/>
    </xf>
    <xf numFmtId="0" fontId="124" fillId="67" borderId="0" applyNumberFormat="0" applyBorder="0" applyAlignment="0" applyProtection="0">
      <alignment vertical="center"/>
    </xf>
    <xf numFmtId="193" fontId="92" fillId="0" borderId="0" applyFont="0" applyFill="0" applyBorder="0" applyAlignment="0" applyProtection="0"/>
    <xf numFmtId="0" fontId="124" fillId="48" borderId="0" applyNumberFormat="0" applyBorder="0" applyAlignment="0" applyProtection="0">
      <alignment vertical="center"/>
    </xf>
    <xf numFmtId="0" fontId="124" fillId="66" borderId="0" applyNumberFormat="0" applyBorder="0" applyAlignment="0" applyProtection="0">
      <alignment vertical="center"/>
    </xf>
    <xf numFmtId="0" fontId="124" fillId="71" borderId="0" applyNumberFormat="0" applyBorder="0" applyAlignment="0" applyProtection="0">
      <alignment vertical="center"/>
    </xf>
    <xf numFmtId="0" fontId="92" fillId="0" borderId="12" applyNumberFormat="0" applyFill="0" applyProtection="0">
      <alignment horizontal="left" vertical="center"/>
    </xf>
    <xf numFmtId="0" fontId="124" fillId="50" borderId="0" applyNumberFormat="0" applyBorder="0" applyAlignment="0" applyProtection="0">
      <alignment vertical="center"/>
    </xf>
    <xf numFmtId="176" fontId="146" fillId="56" borderId="0">
      <alignment horizontal="center" vertical="center" wrapText="1"/>
    </xf>
    <xf numFmtId="0" fontId="171" fillId="0" borderId="0" applyNumberFormat="0" applyFill="0" applyBorder="0" applyAlignment="0" applyProtection="0">
      <alignment vertical="center"/>
    </xf>
    <xf numFmtId="0" fontId="124" fillId="41" borderId="0" applyNumberFormat="0" applyBorder="0" applyAlignment="0" applyProtection="0">
      <alignment vertical="center"/>
    </xf>
    <xf numFmtId="0" fontId="86" fillId="60" borderId="0" applyNumberFormat="0" applyBorder="0" applyAlignment="0" applyProtection="0">
      <alignment vertical="center"/>
    </xf>
    <xf numFmtId="0" fontId="172" fillId="0" borderId="0">
      <alignment vertical="center"/>
    </xf>
    <xf numFmtId="0" fontId="86" fillId="46" borderId="0" applyNumberFormat="0" applyBorder="0" applyAlignment="0" applyProtection="0">
      <alignment vertical="center"/>
    </xf>
    <xf numFmtId="0" fontId="173" fillId="54" borderId="0" applyNumberFormat="0" applyBorder="0" applyAlignment="0" applyProtection="0">
      <alignment vertical="center"/>
    </xf>
    <xf numFmtId="0" fontId="86" fillId="68" borderId="0" applyNumberFormat="0" applyBorder="0" applyAlignment="0" applyProtection="0">
      <alignment vertical="center"/>
    </xf>
    <xf numFmtId="0" fontId="94" fillId="73" borderId="0" applyNumberFormat="0" applyBorder="0" applyAlignment="0" applyProtection="0">
      <alignment vertical="center"/>
    </xf>
    <xf numFmtId="194" fontId="174" fillId="60" borderId="37">
      <alignment horizontal="center" vertical="center"/>
    </xf>
    <xf numFmtId="0" fontId="86" fillId="61" borderId="0" applyNumberFormat="0" applyBorder="0" applyAlignment="0" applyProtection="0">
      <alignment vertical="center"/>
    </xf>
    <xf numFmtId="0" fontId="90" fillId="62" borderId="0" applyNumberFormat="0" applyBorder="0" applyAlignment="0" applyProtection="0">
      <alignment vertical="center"/>
    </xf>
    <xf numFmtId="0" fontId="83" fillId="74" borderId="0" applyNumberFormat="0" applyBorder="0" applyAlignment="0" applyProtection="0">
      <alignment vertical="center"/>
    </xf>
    <xf numFmtId="0" fontId="99" fillId="0" borderId="0">
      <protection locked="0"/>
    </xf>
    <xf numFmtId="0" fontId="175" fillId="0" borderId="32" applyProtection="0"/>
    <xf numFmtId="176" fontId="99" fillId="0" borderId="0">
      <alignment vertical="center"/>
      <protection locked="0"/>
    </xf>
    <xf numFmtId="195" fontId="166" fillId="0" borderId="0"/>
    <xf numFmtId="0" fontId="176" fillId="0" borderId="0"/>
    <xf numFmtId="176" fontId="94" fillId="75" borderId="0" applyNumberFormat="0" applyBorder="0" applyAlignment="0" applyProtection="0"/>
    <xf numFmtId="0" fontId="86" fillId="65" borderId="0" applyNumberFormat="0" applyBorder="0" applyAlignment="0" applyProtection="0">
      <alignment vertical="center"/>
    </xf>
    <xf numFmtId="0" fontId="90" fillId="63" borderId="0" applyNumberFormat="0" applyBorder="0" applyAlignment="0" applyProtection="0">
      <alignment vertical="center"/>
    </xf>
    <xf numFmtId="176" fontId="90" fillId="63" borderId="0" applyNumberFormat="0" applyBorder="0" applyAlignment="0" applyProtection="0"/>
    <xf numFmtId="0" fontId="94" fillId="60" borderId="0" applyNumberFormat="0" applyBorder="0" applyAlignment="0" applyProtection="0"/>
    <xf numFmtId="0" fontId="94" fillId="60" borderId="0" applyNumberFormat="0" applyBorder="0" applyAlignment="0" applyProtection="0">
      <alignment vertical="center"/>
    </xf>
    <xf numFmtId="0" fontId="94" fillId="52" borderId="0" applyNumberFormat="0" applyBorder="0" applyAlignment="0" applyProtection="0">
      <alignment vertical="center"/>
    </xf>
    <xf numFmtId="0" fontId="177" fillId="0" borderId="0">
      <alignment vertical="center"/>
    </xf>
    <xf numFmtId="176" fontId="94" fillId="60" borderId="0" applyNumberFormat="0" applyBorder="0" applyAlignment="0" applyProtection="0"/>
    <xf numFmtId="176" fontId="94" fillId="76" borderId="0" applyNumberFormat="0" applyBorder="0" applyAlignment="0" applyProtection="0"/>
    <xf numFmtId="0" fontId="94" fillId="76" borderId="0" applyNumberFormat="0" applyBorder="0" applyAlignment="0" applyProtection="0"/>
    <xf numFmtId="0" fontId="178" fillId="54" borderId="0" applyNumberFormat="0" applyBorder="0" applyAlignment="0" applyProtection="0">
      <alignment vertical="center"/>
    </xf>
    <xf numFmtId="176" fontId="94" fillId="77" borderId="0" applyNumberFormat="0" applyBorder="0" applyAlignment="0" applyProtection="0">
      <alignment vertical="center"/>
    </xf>
    <xf numFmtId="0" fontId="94" fillId="77" borderId="0" applyNumberFormat="0" applyBorder="0" applyAlignment="0" applyProtection="0">
      <alignment vertical="center"/>
    </xf>
    <xf numFmtId="176" fontId="179" fillId="49" borderId="0" applyNumberFormat="0" applyBorder="0" applyAlignment="0" applyProtection="0">
      <alignment vertical="center"/>
    </xf>
    <xf numFmtId="176" fontId="12" fillId="0" borderId="0" applyProtection="0">
      <alignment vertical="center"/>
    </xf>
    <xf numFmtId="182" fontId="103" fillId="0" borderId="0" applyFont="0" applyFill="0" applyBorder="0" applyAlignment="0" applyProtection="0">
      <alignment vertical="center"/>
    </xf>
    <xf numFmtId="176" fontId="150" fillId="0" borderId="38" applyNumberFormat="0" applyAlignment="0" applyProtection="0">
      <alignment horizontal="left" vertical="center"/>
    </xf>
    <xf numFmtId="0" fontId="86" fillId="57" borderId="0" applyNumberFormat="0" applyBorder="0" applyAlignment="0" applyProtection="0">
      <alignment vertical="center"/>
    </xf>
    <xf numFmtId="0" fontId="90" fillId="51" borderId="0" applyNumberFormat="0" applyBorder="0" applyAlignment="0" applyProtection="0"/>
    <xf numFmtId="0" fontId="90" fillId="51" borderId="0" applyNumberFormat="0" applyBorder="0" applyAlignment="0" applyProtection="0">
      <alignment vertical="center"/>
    </xf>
    <xf numFmtId="176" fontId="90" fillId="78" borderId="0" applyNumberFormat="0" applyBorder="0" applyAlignment="0" applyProtection="0">
      <alignment vertical="center"/>
    </xf>
    <xf numFmtId="0" fontId="90" fillId="78" borderId="0" applyNumberFormat="0" applyBorder="0" applyAlignment="0" applyProtection="0">
      <alignment vertical="center"/>
    </xf>
    <xf numFmtId="0" fontId="92" fillId="0" borderId="0" applyNumberFormat="0" applyFill="0" applyBorder="0" applyAlignment="0" applyProtection="0">
      <alignment vertical="top"/>
      <protection locked="0"/>
    </xf>
    <xf numFmtId="176" fontId="90" fillId="51" borderId="0" applyNumberFormat="0" applyBorder="0" applyAlignment="0" applyProtection="0"/>
    <xf numFmtId="176" fontId="90" fillId="59" borderId="0" applyNumberFormat="0" applyBorder="0" applyAlignment="0" applyProtection="0">
      <alignment vertical="center"/>
    </xf>
    <xf numFmtId="0" fontId="90" fillId="59" borderId="0" applyNumberFormat="0" applyBorder="0" applyAlignment="0" applyProtection="0">
      <alignment vertical="center"/>
    </xf>
    <xf numFmtId="0" fontId="180" fillId="0" borderId="0">
      <alignment vertical="center"/>
    </xf>
    <xf numFmtId="0" fontId="92" fillId="79" borderId="0">
      <alignment vertical="center"/>
    </xf>
    <xf numFmtId="176" fontId="94" fillId="80" borderId="0" applyNumberFormat="0" applyBorder="0" applyAlignment="0" applyProtection="0">
      <alignment vertical="center"/>
    </xf>
    <xf numFmtId="0" fontId="94" fillId="80" borderId="0" applyNumberFormat="0" applyBorder="0" applyAlignment="0" applyProtection="0">
      <alignment vertical="center"/>
    </xf>
    <xf numFmtId="176" fontId="94" fillId="42" borderId="0" applyNumberFormat="0" applyBorder="0" applyAlignment="0" applyProtection="0"/>
    <xf numFmtId="0" fontId="94" fillId="75" borderId="0" applyNumberFormat="0" applyBorder="0" applyAlignment="0" applyProtection="0"/>
    <xf numFmtId="0" fontId="165" fillId="0" borderId="0" applyNumberFormat="0" applyFill="0" applyBorder="0" applyAlignment="0" applyProtection="0">
      <alignment vertical="center"/>
    </xf>
    <xf numFmtId="0" fontId="94" fillId="72" borderId="0" applyNumberFormat="0" applyBorder="0" applyAlignment="0" applyProtection="0">
      <alignment vertical="center"/>
    </xf>
    <xf numFmtId="0" fontId="181" fillId="54" borderId="0" applyNumberFormat="0" applyBorder="0" applyAlignment="0" applyProtection="0">
      <alignment vertical="center"/>
    </xf>
    <xf numFmtId="0" fontId="90" fillId="54" borderId="0" applyNumberFormat="0" applyBorder="0" applyAlignment="0" applyProtection="0"/>
    <xf numFmtId="176" fontId="166" fillId="0" borderId="0">
      <alignment vertical="center"/>
    </xf>
    <xf numFmtId="196" fontId="92" fillId="0" borderId="0" applyFont="0" applyFill="0" applyBorder="0" applyAlignment="0" applyProtection="0"/>
    <xf numFmtId="176" fontId="12" fillId="0" borderId="0"/>
    <xf numFmtId="176" fontId="181" fillId="54" borderId="0" applyNumberFormat="0" applyBorder="0" applyAlignment="0" applyProtection="0">
      <alignment vertical="center"/>
    </xf>
    <xf numFmtId="0" fontId="90" fillId="54" borderId="0" applyNumberFormat="0" applyBorder="0" applyAlignment="0" applyProtection="0">
      <alignment vertical="center"/>
    </xf>
    <xf numFmtId="0" fontId="166" fillId="0" borderId="0">
      <alignment vertical="center"/>
    </xf>
    <xf numFmtId="176" fontId="90" fillId="62" borderId="0" applyNumberFormat="0" applyBorder="0" applyAlignment="0" applyProtection="0">
      <alignment vertical="center"/>
    </xf>
    <xf numFmtId="176" fontId="12" fillId="0" borderId="0" applyNumberFormat="0" applyFill="0" applyBorder="0" applyAlignment="0" applyProtection="0">
      <alignment vertical="top"/>
      <protection locked="0"/>
    </xf>
    <xf numFmtId="176" fontId="90" fillId="54" borderId="0" applyNumberFormat="0" applyBorder="0" applyAlignment="0" applyProtection="0"/>
    <xf numFmtId="0" fontId="182" fillId="0" borderId="28">
      <alignment horizontal="center"/>
    </xf>
    <xf numFmtId="197" fontId="104" fillId="0" borderId="0" applyFont="0" applyFill="0" applyBorder="0" applyAlignment="0" applyProtection="0"/>
    <xf numFmtId="0" fontId="94" fillId="46" borderId="0" applyNumberFormat="0" applyBorder="0" applyAlignment="0" applyProtection="0"/>
    <xf numFmtId="176" fontId="90" fillId="55" borderId="0" applyNumberFormat="0" applyBorder="0" applyAlignment="0" applyProtection="0"/>
    <xf numFmtId="0" fontId="94" fillId="46" borderId="0" applyNumberFormat="0" applyBorder="0" applyAlignment="0" applyProtection="0">
      <alignment vertical="center"/>
    </xf>
    <xf numFmtId="176" fontId="94" fillId="59" borderId="0" applyNumberFormat="0" applyBorder="0" applyAlignment="0" applyProtection="0">
      <alignment vertical="center"/>
    </xf>
    <xf numFmtId="0" fontId="92" fillId="0" borderId="12" applyNumberFormat="0" applyFill="0" applyProtection="0">
      <alignment horizontal="right"/>
    </xf>
    <xf numFmtId="0" fontId="183" fillId="0" borderId="0" applyNumberFormat="0" applyFill="0" applyBorder="0" applyAlignment="0" applyProtection="0">
      <alignment vertical="top"/>
      <protection locked="0"/>
    </xf>
    <xf numFmtId="176" fontId="92" fillId="0" borderId="0" applyNumberFormat="0" applyFill="0" applyBorder="0" applyAlignment="0" applyProtection="0">
      <alignment vertical="top"/>
      <protection locked="0"/>
    </xf>
    <xf numFmtId="176" fontId="94" fillId="46" borderId="0" applyNumberFormat="0" applyBorder="0" applyAlignment="0" applyProtection="0"/>
    <xf numFmtId="0" fontId="90" fillId="55" borderId="0" applyNumberFormat="0" applyBorder="0" applyAlignment="0" applyProtection="0">
      <alignment vertical="center"/>
    </xf>
    <xf numFmtId="176" fontId="90" fillId="81" borderId="0" applyNumberFormat="0" applyBorder="0" applyAlignment="0" applyProtection="0">
      <alignment vertical="center"/>
    </xf>
    <xf numFmtId="0" fontId="154" fillId="0" borderId="0"/>
    <xf numFmtId="0" fontId="90" fillId="81" borderId="0" applyNumberFormat="0" applyBorder="0" applyAlignment="0" applyProtection="0">
      <alignment vertical="center"/>
    </xf>
    <xf numFmtId="176" fontId="94" fillId="50" borderId="0" applyNumberFormat="0" applyBorder="0" applyAlignment="0" applyProtection="0"/>
    <xf numFmtId="0" fontId="184" fillId="82" borderId="0" applyNumberFormat="0" applyFont="0" applyBorder="0" applyAlignment="0">
      <alignment horizontal="center"/>
    </xf>
    <xf numFmtId="0" fontId="160" fillId="0" borderId="23" applyNumberFormat="0" applyFill="0" applyProtection="0">
      <alignment horizontal="left" vertical="center"/>
    </xf>
    <xf numFmtId="0" fontId="94" fillId="50" borderId="0" applyNumberFormat="0" applyBorder="0" applyAlignment="0" applyProtection="0"/>
    <xf numFmtId="176" fontId="94" fillId="73" borderId="0" applyNumberFormat="0" applyBorder="0" applyAlignment="0" applyProtection="0">
      <alignment vertical="center"/>
    </xf>
    <xf numFmtId="0" fontId="86" fillId="74" borderId="0" applyNumberFormat="0" applyBorder="0" applyAlignment="0" applyProtection="0">
      <alignment vertical="center"/>
    </xf>
    <xf numFmtId="0" fontId="90" fillId="44" borderId="0" applyNumberFormat="0" applyBorder="0" applyAlignment="0" applyProtection="0"/>
    <xf numFmtId="0" fontId="185" fillId="51" borderId="26" applyNumberFormat="0" applyFont="0" applyAlignment="0" applyProtection="0">
      <alignment vertical="center"/>
    </xf>
    <xf numFmtId="0" fontId="90" fillId="44" borderId="0" applyNumberFormat="0" applyBorder="0" applyAlignment="0" applyProtection="0">
      <alignment vertical="center"/>
    </xf>
    <xf numFmtId="176" fontId="90" fillId="83" borderId="0" applyNumberFormat="0" applyBorder="0" applyAlignment="0" applyProtection="0">
      <alignment vertical="center"/>
    </xf>
    <xf numFmtId="0" fontId="90" fillId="83" borderId="0" applyNumberFormat="0" applyBorder="0" applyAlignment="0" applyProtection="0">
      <alignment vertical="center"/>
    </xf>
    <xf numFmtId="176" fontId="88" fillId="0" borderId="0">
      <alignment horizontal="center" vertical="center" wrapText="1"/>
      <protection locked="0"/>
    </xf>
    <xf numFmtId="0" fontId="186" fillId="0" borderId="0" applyNumberFormat="0" applyFill="0" applyBorder="0" applyAlignment="0" applyProtection="0">
      <alignment vertical="center"/>
    </xf>
    <xf numFmtId="176" fontId="90" fillId="44" borderId="0" applyNumberFormat="0" applyBorder="0" applyAlignment="0" applyProtection="0"/>
    <xf numFmtId="0" fontId="94" fillId="44" borderId="0" applyNumberFormat="0" applyBorder="0" applyAlignment="0" applyProtection="0"/>
    <xf numFmtId="176" fontId="94" fillId="83" borderId="0" applyNumberFormat="0" applyBorder="0" applyAlignment="0" applyProtection="0">
      <alignment vertical="center"/>
    </xf>
    <xf numFmtId="0" fontId="94" fillId="83" borderId="0" applyNumberFormat="0" applyBorder="0" applyAlignment="0" applyProtection="0">
      <alignment vertical="center"/>
    </xf>
    <xf numFmtId="0" fontId="108" fillId="0" borderId="0">
      <alignment vertical="center"/>
    </xf>
    <xf numFmtId="0" fontId="187" fillId="0" borderId="32" applyNumberFormat="0" applyFill="0" applyAlignment="0" applyProtection="0">
      <alignment vertical="center"/>
    </xf>
    <xf numFmtId="198" fontId="188" fillId="0" borderId="0" applyAlignment="0" applyProtection="0">
      <alignment vertical="center"/>
    </xf>
    <xf numFmtId="176" fontId="94" fillId="41" borderId="0" applyNumberFormat="0" applyBorder="0" applyAlignment="0" applyProtection="0"/>
    <xf numFmtId="176" fontId="94" fillId="84" borderId="0" applyNumberFormat="0" applyBorder="0" applyAlignment="0" applyProtection="0">
      <alignment vertical="center"/>
    </xf>
    <xf numFmtId="0" fontId="94" fillId="84" borderId="0" applyNumberFormat="0" applyBorder="0" applyAlignment="0" applyProtection="0">
      <alignment vertical="center"/>
    </xf>
    <xf numFmtId="0" fontId="189" fillId="0" borderId="0" applyFont="0" applyFill="0" applyBorder="0" applyAlignment="0" applyProtection="0"/>
    <xf numFmtId="176" fontId="146" fillId="56" borderId="0">
      <alignment horizontal="right" vertical="center" wrapText="1"/>
    </xf>
    <xf numFmtId="0" fontId="179" fillId="49" borderId="0" applyNumberFormat="0" applyBorder="0" applyAlignment="0" applyProtection="0">
      <alignment vertical="center"/>
    </xf>
    <xf numFmtId="199" fontId="182" fillId="0" borderId="39" applyAlignment="0" applyProtection="0"/>
    <xf numFmtId="200" fontId="92" fillId="0" borderId="0" applyFont="0" applyFill="0" applyBorder="0" applyAlignment="0" applyProtection="0"/>
    <xf numFmtId="0" fontId="189" fillId="0" borderId="0"/>
    <xf numFmtId="201" fontId="92" fillId="0" borderId="0" applyFont="0" applyFill="0" applyBorder="0" applyAlignment="0" applyProtection="0"/>
    <xf numFmtId="202" fontId="92" fillId="0" borderId="0" applyFill="0" applyBorder="0" applyAlignment="0">
      <alignment vertical="center"/>
    </xf>
    <xf numFmtId="203" fontId="92" fillId="0" borderId="0" applyFill="0" applyBorder="0" applyAlignment="0"/>
    <xf numFmtId="204" fontId="92" fillId="0" borderId="0" applyFill="0" applyBorder="0" applyAlignment="0"/>
    <xf numFmtId="205" fontId="92" fillId="0" borderId="0" applyFill="0" applyBorder="0" applyAlignment="0"/>
    <xf numFmtId="206" fontId="92" fillId="0" borderId="0" applyFill="0" applyBorder="0" applyAlignment="0"/>
    <xf numFmtId="0" fontId="190" fillId="0" borderId="0">
      <alignment vertical="center"/>
    </xf>
    <xf numFmtId="0" fontId="182" fillId="0" borderId="0" applyNumberFormat="0" applyFill="0" applyBorder="0" applyAlignment="0" applyProtection="0"/>
    <xf numFmtId="0" fontId="188" fillId="46" borderId="0" applyNumberFormat="0" applyBorder="0" applyAlignment="0" applyProtection="0">
      <alignment vertical="center"/>
    </xf>
    <xf numFmtId="0" fontId="191" fillId="0" borderId="6">
      <alignment horizontal="center" vertical="center"/>
    </xf>
    <xf numFmtId="207" fontId="192" fillId="0" borderId="0"/>
    <xf numFmtId="207" fontId="193" fillId="0" borderId="0"/>
    <xf numFmtId="0" fontId="120" fillId="85" borderId="0" applyNumberFormat="0" applyBorder="0" applyAlignment="0" applyProtection="0">
      <alignment vertical="center"/>
    </xf>
    <xf numFmtId="203" fontId="12" fillId="0" borderId="0" applyFont="0" applyFill="0" applyBorder="0" applyAlignment="0" applyProtection="0">
      <alignment vertical="center"/>
    </xf>
    <xf numFmtId="0" fontId="156" fillId="56" borderId="0">
      <alignment horizontal="center" vertical="center"/>
    </xf>
    <xf numFmtId="41" fontId="12" fillId="0" borderId="0" applyFont="0" applyFill="0" applyBorder="0" applyAlignment="0" applyProtection="0">
      <alignment vertical="center"/>
    </xf>
    <xf numFmtId="0" fontId="193" fillId="0" borderId="0"/>
    <xf numFmtId="181" fontId="99" fillId="0" borderId="0" applyFont="0" applyFill="0" applyBorder="0" applyAlignment="0" applyProtection="0"/>
    <xf numFmtId="191" fontId="136" fillId="0" borderId="39" applyFont="0" applyFill="0" applyAlignment="0" applyProtection="0">
      <alignment vertical="center"/>
    </xf>
    <xf numFmtId="0" fontId="148" fillId="62" borderId="0" applyNumberFormat="0" applyBorder="0" applyAlignment="0" applyProtection="0"/>
    <xf numFmtId="208" fontId="92" fillId="0" borderId="0" applyFont="0" applyFill="0" applyBorder="0" applyAlignment="0" applyProtection="0">
      <alignment vertical="center"/>
    </xf>
    <xf numFmtId="180" fontId="92" fillId="0" borderId="0" applyFont="0" applyFill="0" applyBorder="0" applyAlignment="0" applyProtection="0">
      <alignment vertical="center"/>
    </xf>
    <xf numFmtId="209" fontId="153" fillId="0" borderId="0" applyFont="0" applyFill="0" applyBorder="0" applyAlignment="0" applyProtection="0">
      <alignment vertical="center"/>
      <protection locked="0"/>
    </xf>
    <xf numFmtId="210" fontId="12" fillId="0" borderId="0" applyFont="0" applyFill="0" applyBorder="0" applyAlignment="0" applyProtection="0">
      <alignment vertical="center"/>
    </xf>
    <xf numFmtId="43" fontId="92" fillId="0" borderId="0" applyFont="0" applyFill="0" applyBorder="0" applyAlignment="0" applyProtection="0">
      <alignment vertical="center"/>
    </xf>
    <xf numFmtId="3" fontId="92" fillId="0" borderId="0" applyFont="0" applyFill="0" applyBorder="0" applyAlignment="0" applyProtection="0"/>
    <xf numFmtId="0" fontId="194" fillId="0" borderId="0" applyNumberFormat="0" applyAlignment="0">
      <alignment horizontal="left" vertical="center"/>
    </xf>
    <xf numFmtId="0" fontId="195" fillId="0" borderId="0" applyNumberFormat="0" applyAlignment="0">
      <alignment vertical="center"/>
    </xf>
    <xf numFmtId="176" fontId="126" fillId="0" borderId="0" applyNumberFormat="0" applyFill="0" applyBorder="0" applyAlignment="0" applyProtection="0">
      <alignment vertical="top"/>
      <protection locked="0"/>
    </xf>
    <xf numFmtId="186" fontId="92" fillId="0" borderId="0" applyFont="0" applyFill="0" applyBorder="0" applyAlignment="0" applyProtection="0">
      <alignment vertical="center"/>
    </xf>
    <xf numFmtId="200" fontId="92" fillId="0" borderId="0" applyFont="0" applyFill="0" applyBorder="0" applyAlignment="0" applyProtection="0">
      <alignment vertical="center"/>
    </xf>
    <xf numFmtId="203" fontId="92" fillId="0" borderId="0" applyFont="0" applyFill="0" applyBorder="0" applyAlignment="0" applyProtection="0"/>
    <xf numFmtId="211" fontId="128" fillId="0" borderId="0" applyFont="0" applyFill="0" applyBorder="0" applyAlignment="0" applyProtection="0"/>
    <xf numFmtId="0" fontId="102" fillId="65" borderId="0" applyNumberFormat="0" applyBorder="0" applyAlignment="0" applyProtection="0">
      <alignment vertical="center"/>
    </xf>
    <xf numFmtId="181" fontId="92" fillId="0" borderId="0" applyFont="0" applyFill="0" applyBorder="0" applyAlignment="0" applyProtection="0">
      <alignment vertical="center"/>
    </xf>
    <xf numFmtId="0" fontId="156" fillId="56" borderId="0">
      <alignment horizontal="right" vertical="center"/>
    </xf>
    <xf numFmtId="3" fontId="196" fillId="0" borderId="0"/>
    <xf numFmtId="38" fontId="197" fillId="0" borderId="0">
      <alignment vertical="center"/>
    </xf>
    <xf numFmtId="38" fontId="198" fillId="68" borderId="40">
      <alignment vertical="center"/>
    </xf>
    <xf numFmtId="14" fontId="154" fillId="0" borderId="0" applyFill="0" applyBorder="0" applyAlignment="0"/>
    <xf numFmtId="212" fontId="128" fillId="0" borderId="0"/>
    <xf numFmtId="0" fontId="153" fillId="0" borderId="0" applyNumberFormat="0">
      <alignment vertical="center"/>
    </xf>
    <xf numFmtId="205" fontId="92" fillId="0" borderId="0" applyFont="0" applyFill="0" applyBorder="0" applyAlignment="0" applyProtection="0"/>
    <xf numFmtId="38" fontId="128" fillId="0" borderId="41">
      <alignment vertical="center"/>
    </xf>
    <xf numFmtId="213" fontId="166" fillId="0" borderId="0"/>
    <xf numFmtId="214" fontId="199" fillId="0" borderId="0" applyFont="0" applyFill="0" applyBorder="0" applyAlignment="0" applyProtection="0">
      <alignment vertical="center"/>
    </xf>
    <xf numFmtId="0" fontId="200" fillId="0" borderId="0" applyNumberFormat="0" applyFill="0" applyBorder="0" applyAlignment="0" applyProtection="0">
      <alignment vertical="center"/>
    </xf>
    <xf numFmtId="0" fontId="136" fillId="0" borderId="0" applyNumberFormat="0" applyFill="0" applyBorder="0" applyAlignment="0" applyProtection="0">
      <alignment vertical="center"/>
    </xf>
    <xf numFmtId="176" fontId="188" fillId="46" borderId="0" applyNumberFormat="0" applyBorder="0" applyAlignment="0" applyProtection="0">
      <alignment vertical="center"/>
    </xf>
    <xf numFmtId="176" fontId="159" fillId="56" borderId="0">
      <alignment horizontal="center" vertical="center" wrapText="1"/>
    </xf>
    <xf numFmtId="0" fontId="87" fillId="69" borderId="0" applyNumberFormat="0" applyBorder="0" applyAlignment="0" applyProtection="0">
      <alignment vertical="center"/>
    </xf>
    <xf numFmtId="208" fontId="12" fillId="0" borderId="0" applyFont="0" applyFill="0" applyBorder="0" applyAlignment="0" applyProtection="0">
      <alignment vertical="center"/>
    </xf>
    <xf numFmtId="0" fontId="192" fillId="0" borderId="0">
      <alignment horizontal="left" vertical="center"/>
    </xf>
    <xf numFmtId="0" fontId="150" fillId="0" borderId="38" applyNumberFormat="0" applyAlignment="0" applyProtection="0">
      <alignment horizontal="left" vertical="center"/>
    </xf>
    <xf numFmtId="0" fontId="150" fillId="0" borderId="33">
      <alignment horizontal="left" vertical="center"/>
    </xf>
    <xf numFmtId="0" fontId="86" fillId="40" borderId="0" applyNumberFormat="0" applyBorder="0" applyAlignment="0" applyProtection="0">
      <alignment vertical="center"/>
    </xf>
    <xf numFmtId="0" fontId="170" fillId="0" borderId="35" applyNumberFormat="0" applyFill="0" applyAlignment="0" applyProtection="0">
      <alignment vertical="center"/>
    </xf>
    <xf numFmtId="215" fontId="174" fillId="0" borderId="0">
      <protection locked="0"/>
    </xf>
    <xf numFmtId="0" fontId="153" fillId="0" borderId="24" applyNumberFormat="0" applyFill="0" applyAlignment="0" applyProtection="0"/>
    <xf numFmtId="0" fontId="188" fillId="51" borderId="1" applyNumberFormat="0" applyBorder="0" applyAlignment="0" applyProtection="0">
      <alignment vertical="center"/>
    </xf>
    <xf numFmtId="176" fontId="120" fillId="85" borderId="0" applyNumberFormat="0" applyBorder="0" applyAlignment="0" applyProtection="0">
      <alignment vertical="center"/>
    </xf>
    <xf numFmtId="176" fontId="156" fillId="56" borderId="0">
      <alignment horizontal="left" vertical="center"/>
    </xf>
    <xf numFmtId="0" fontId="93" fillId="0" borderId="0" applyProtection="0"/>
    <xf numFmtId="176" fontId="188" fillId="51" borderId="1" applyNumberFormat="0" applyBorder="0" applyAlignment="0" applyProtection="0">
      <alignment vertical="center"/>
    </xf>
    <xf numFmtId="38" fontId="201" fillId="0" borderId="0">
      <alignment vertical="center"/>
    </xf>
    <xf numFmtId="38" fontId="202" fillId="0" borderId="0">
      <alignment vertical="center"/>
    </xf>
    <xf numFmtId="38" fontId="203" fillId="0" borderId="0">
      <alignment vertical="center"/>
    </xf>
    <xf numFmtId="0" fontId="108" fillId="0" borderId="0"/>
    <xf numFmtId="176" fontId="120" fillId="49" borderId="0" applyNumberFormat="0" applyBorder="0" applyAlignment="0" applyProtection="0"/>
    <xf numFmtId="0" fontId="175" fillId="0" borderId="32" applyNumberFormat="0" applyFill="0" applyAlignment="0" applyProtection="0">
      <alignment vertical="center"/>
    </xf>
    <xf numFmtId="38" fontId="128" fillId="0" borderId="0" applyFont="0" applyFill="0" applyBorder="0" applyAlignment="0" applyProtection="0"/>
    <xf numFmtId="187" fontId="92" fillId="0" borderId="0" applyFont="0" applyFill="0" applyBorder="0" applyAlignment="0" applyProtection="0">
      <alignment vertical="center"/>
    </xf>
    <xf numFmtId="40" fontId="128" fillId="0" borderId="0" applyFont="0" applyFill="0" applyBorder="0" applyAlignment="0" applyProtection="0"/>
    <xf numFmtId="0" fontId="12" fillId="0" borderId="0" applyFont="0" applyFill="0" applyBorder="0" applyAlignment="0" applyProtection="0">
      <alignment vertical="center"/>
    </xf>
    <xf numFmtId="0" fontId="177" fillId="0" borderId="28">
      <alignment vertical="center"/>
    </xf>
    <xf numFmtId="0" fontId="19" fillId="0" borderId="0">
      <alignment vertical="center"/>
    </xf>
    <xf numFmtId="0" fontId="123" fillId="0" borderId="0" applyFont="0" applyFill="0" applyBorder="0" applyAlignment="0" applyProtection="0">
      <alignment vertical="center"/>
    </xf>
    <xf numFmtId="216" fontId="92" fillId="0" borderId="0" applyFont="0" applyFill="0" applyBorder="0" applyAlignment="0" applyProtection="0"/>
    <xf numFmtId="217" fontId="128" fillId="0" borderId="0" applyFont="0" applyFill="0" applyBorder="0" applyAlignment="0" applyProtection="0"/>
    <xf numFmtId="0" fontId="12" fillId="0" borderId="0"/>
    <xf numFmtId="218" fontId="92" fillId="0" borderId="0" applyFont="0" applyFill="0" applyBorder="0" applyAlignment="0" applyProtection="0"/>
    <xf numFmtId="219" fontId="104" fillId="0" borderId="0" applyFont="0" applyFill="0" applyBorder="0" applyAlignment="0" applyProtection="0"/>
    <xf numFmtId="0" fontId="204" fillId="0" borderId="0" applyNumberFormat="0">
      <alignment horizontal="right" vertical="center"/>
    </xf>
    <xf numFmtId="0" fontId="87" fillId="86" borderId="0" applyNumberFormat="0" applyBorder="0" applyAlignment="0" applyProtection="0"/>
    <xf numFmtId="40" fontId="168" fillId="0" borderId="0" applyFont="0" applyFill="0" applyBorder="0" applyAlignment="0" applyProtection="0"/>
    <xf numFmtId="0" fontId="205" fillId="68" borderId="0" applyNumberFormat="0" applyBorder="0" applyAlignment="0" applyProtection="0">
      <alignment vertical="center"/>
    </xf>
    <xf numFmtId="0" fontId="166" fillId="0" borderId="0"/>
    <xf numFmtId="9" fontId="12" fillId="0" borderId="0" applyFont="0" applyFill="0" applyBorder="0" applyAlignment="0" applyProtection="0">
      <alignment vertical="center"/>
    </xf>
    <xf numFmtId="37" fontId="206" fillId="0" borderId="0">
      <alignment vertical="center"/>
    </xf>
    <xf numFmtId="176" fontId="182" fillId="0" borderId="28">
      <alignment horizontal="center" vertical="center"/>
    </xf>
    <xf numFmtId="0" fontId="207" fillId="0" borderId="12" applyNumberFormat="0" applyFill="0" applyProtection="0">
      <alignment horizontal="center" vertical="center"/>
    </xf>
    <xf numFmtId="0" fontId="142" fillId="0" borderId="0">
      <alignment vertical="center"/>
    </xf>
    <xf numFmtId="204" fontId="208" fillId="0" borderId="0">
      <alignment vertical="center"/>
    </xf>
    <xf numFmtId="0" fontId="209" fillId="0" borderId="0"/>
    <xf numFmtId="10" fontId="166" fillId="0" borderId="0" applyFont="0" applyFill="0" applyBorder="0" applyAlignment="0" applyProtection="0">
      <alignment vertical="center"/>
    </xf>
    <xf numFmtId="220" fontId="92" fillId="0" borderId="0" applyFont="0" applyFill="0" applyBorder="0" applyAlignment="0" applyProtection="0"/>
    <xf numFmtId="10" fontId="12" fillId="0" borderId="0" applyFont="0" applyFill="0" applyBorder="0" applyAlignment="0" applyProtection="0">
      <alignment vertical="center"/>
    </xf>
    <xf numFmtId="0" fontId="210" fillId="0" borderId="0" applyNumberFormat="0" applyFill="0" applyBorder="0" applyAlignment="0" applyProtection="0"/>
    <xf numFmtId="9" fontId="92" fillId="0" borderId="0" applyFont="0" applyFill="0" applyBorder="0" applyAlignment="0" applyProtection="0">
      <alignment vertical="center"/>
    </xf>
    <xf numFmtId="0" fontId="160" fillId="0" borderId="23" applyNumberFormat="0" applyFill="0" applyProtection="0">
      <alignment horizontal="center" vertical="center"/>
    </xf>
    <xf numFmtId="9" fontId="99" fillId="0" borderId="0" applyFont="0" applyFill="0" applyBorder="0" applyAlignment="0" applyProtection="0"/>
    <xf numFmtId="221" fontId="92" fillId="0" borderId="0" applyFont="0" applyFill="0" applyProtection="0"/>
    <xf numFmtId="0" fontId="103" fillId="0" borderId="0">
      <alignment vertical="center"/>
    </xf>
    <xf numFmtId="199" fontId="211" fillId="0" borderId="0">
      <alignment vertical="center"/>
    </xf>
    <xf numFmtId="15" fontId="128" fillId="0" borderId="0" applyFont="0" applyFill="0" applyBorder="0" applyAlignment="0" applyProtection="0"/>
    <xf numFmtId="0" fontId="128" fillId="70" borderId="0" applyNumberFormat="0" applyFont="0" applyBorder="0" applyAlignment="0" applyProtection="0"/>
    <xf numFmtId="176" fontId="12" fillId="70" borderId="0" applyNumberFormat="0" applyFont="0" applyBorder="0" applyAlignment="0" applyProtection="0">
      <alignment vertical="center"/>
    </xf>
    <xf numFmtId="0" fontId="212" fillId="0" borderId="0" applyNumberFormat="0" applyFill="0" applyBorder="0" applyAlignment="0" applyProtection="0">
      <alignment horizontal="left" vertical="center"/>
    </xf>
    <xf numFmtId="0" fontId="213" fillId="0" borderId="0" applyNumberFormat="0" applyFill="0" applyBorder="0" applyAlignment="0" applyProtection="0">
      <alignment vertical="center"/>
    </xf>
    <xf numFmtId="176" fontId="146" fillId="56" borderId="0">
      <alignment horizontal="left" vertical="center" wrapText="1"/>
    </xf>
    <xf numFmtId="176" fontId="160" fillId="0" borderId="23" applyNumberFormat="0" applyFill="0" applyProtection="0">
      <alignment horizontal="center" vertical="center"/>
    </xf>
    <xf numFmtId="176" fontId="161" fillId="56" borderId="0">
      <alignment horizontal="center" vertical="center" wrapText="1"/>
    </xf>
    <xf numFmtId="0" fontId="214" fillId="0" borderId="0" applyFill="0" applyBorder="0" applyAlignment="0">
      <alignment vertical="center"/>
    </xf>
    <xf numFmtId="191" fontId="136" fillId="0" borderId="0" applyFont="0" applyFill="0" applyBorder="0" applyAlignment="0" applyProtection="0">
      <alignment vertical="center"/>
    </xf>
    <xf numFmtId="0" fontId="130" fillId="49" borderId="0" applyNumberFormat="0" applyBorder="0" applyAlignment="0" applyProtection="0">
      <alignment vertical="center"/>
    </xf>
    <xf numFmtId="0" fontId="184" fillId="87" borderId="33" applyNumberFormat="0" applyFont="0" applyAlignment="0">
      <alignment horizontal="center"/>
    </xf>
    <xf numFmtId="0" fontId="215" fillId="0" borderId="0" applyNumberFormat="0" applyFill="0" applyBorder="0" applyAlignment="0" applyProtection="0">
      <alignment vertical="center"/>
    </xf>
    <xf numFmtId="0" fontId="196" fillId="0" borderId="0" applyNumberFormat="0" applyFill="0" applyBorder="0" applyAlignment="0">
      <alignment horizontal="center"/>
    </xf>
    <xf numFmtId="0" fontId="216" fillId="88" borderId="42">
      <protection locked="0"/>
    </xf>
    <xf numFmtId="0" fontId="148" fillId="54" borderId="0" applyNumberFormat="0" applyBorder="0" applyAlignment="0" applyProtection="0">
      <alignment vertical="center"/>
    </xf>
    <xf numFmtId="176" fontId="216" fillId="88" borderId="42">
      <alignment vertical="center"/>
      <protection locked="0"/>
    </xf>
    <xf numFmtId="0" fontId="217" fillId="0" borderId="7" applyProtection="0">
      <alignment horizontal="centerContinuous"/>
    </xf>
    <xf numFmtId="9" fontId="103" fillId="0" borderId="0" applyFont="0" applyFill="0" applyBorder="0" applyAlignment="0" applyProtection="0">
      <alignment vertical="center"/>
    </xf>
    <xf numFmtId="179" fontId="92" fillId="0" borderId="0" applyFont="0" applyFill="0" applyBorder="0" applyAlignment="0" applyProtection="0">
      <alignment vertical="center"/>
    </xf>
    <xf numFmtId="49" fontId="154" fillId="0" borderId="0" applyFill="0" applyBorder="0" applyAlignment="0"/>
    <xf numFmtId="0" fontId="218" fillId="42" borderId="22" applyNumberFormat="0" applyAlignment="0" applyProtection="0">
      <alignment vertical="center"/>
    </xf>
    <xf numFmtId="222" fontId="92" fillId="0" borderId="0" applyFill="0" applyBorder="0" applyAlignment="0"/>
    <xf numFmtId="223" fontId="92" fillId="0" borderId="0" applyFill="0" applyBorder="0" applyAlignment="0"/>
    <xf numFmtId="0" fontId="219" fillId="0" borderId="0">
      <alignment horizontal="centerContinuous" wrapText="1"/>
    </xf>
    <xf numFmtId="37" fontId="188" fillId="68" borderId="0" applyNumberFormat="0" applyBorder="0" applyAlignment="0" applyProtection="0"/>
    <xf numFmtId="0" fontId="220" fillId="51" borderId="26" applyNumberFormat="0" applyFont="0" applyAlignment="0" applyProtection="0">
      <alignment vertical="center"/>
    </xf>
    <xf numFmtId="0" fontId="221" fillId="0" borderId="0"/>
    <xf numFmtId="37" fontId="188" fillId="0" borderId="0"/>
    <xf numFmtId="0" fontId="139" fillId="0" borderId="0" applyNumberFormat="0" applyFill="0" applyBorder="0" applyAlignment="0">
      <alignment vertical="center"/>
    </xf>
    <xf numFmtId="0" fontId="222" fillId="0" borderId="0" applyNumberFormat="0" applyFill="0" applyBorder="0" applyAlignment="0" applyProtection="0"/>
    <xf numFmtId="9" fontId="12" fillId="0" borderId="0" applyFont="0" applyFill="0" applyBorder="0" applyAlignment="0" applyProtection="0"/>
    <xf numFmtId="9" fontId="19" fillId="0" borderId="0" applyFont="0" applyFill="0" applyBorder="0" applyAlignment="0" applyProtection="0">
      <alignment vertical="center"/>
    </xf>
    <xf numFmtId="176" fontId="207" fillId="0" borderId="12" applyNumberFormat="0" applyFill="0" applyProtection="0">
      <alignment horizontal="center" vertical="center"/>
    </xf>
    <xf numFmtId="0" fontId="92" fillId="0" borderId="12" applyNumberFormat="0" applyFill="0" applyProtection="0">
      <alignment horizontal="right" vertical="center"/>
    </xf>
    <xf numFmtId="0" fontId="137" fillId="0" borderId="25" applyProtection="0"/>
    <xf numFmtId="0" fontId="93" fillId="0" borderId="29" applyProtection="0"/>
    <xf numFmtId="0" fontId="186" fillId="0" borderId="0" applyProtection="0"/>
    <xf numFmtId="0" fontId="207" fillId="0" borderId="12" applyNumberFormat="0" applyFill="0" applyProtection="0">
      <alignment horizontal="center"/>
    </xf>
    <xf numFmtId="0" fontId="223" fillId="0" borderId="0"/>
    <xf numFmtId="0" fontId="109" fillId="0" borderId="0" applyNumberFormat="0" applyFill="0" applyBorder="0" applyAlignment="0" applyProtection="0">
      <alignment vertical="center"/>
    </xf>
    <xf numFmtId="0" fontId="224" fillId="0" borderId="35" applyNumberFormat="0" applyFill="0" applyAlignment="0" applyProtection="0">
      <alignment vertical="center"/>
    </xf>
    <xf numFmtId="1" fontId="92" fillId="0" borderId="23" applyFill="0" applyProtection="0">
      <alignment horizontal="center"/>
    </xf>
    <xf numFmtId="176" fontId="109" fillId="0" borderId="0" applyNumberFormat="0" applyFill="0" applyBorder="0" applyAlignment="0" applyProtection="0"/>
    <xf numFmtId="0" fontId="225" fillId="46" borderId="27" applyNumberFormat="0" applyAlignment="0" applyProtection="0">
      <alignment vertical="center"/>
    </xf>
    <xf numFmtId="0" fontId="120" fillId="49" borderId="0" applyNumberFormat="0" applyBorder="0" applyAlignment="0" applyProtection="0">
      <alignment vertical="center"/>
    </xf>
    <xf numFmtId="0" fontId="120" fillId="85" borderId="0" applyNumberFormat="0" applyBorder="0" applyAlignment="0" applyProtection="0"/>
    <xf numFmtId="0" fontId="226" fillId="49" borderId="0" applyNumberFormat="0" applyBorder="0" applyAlignment="0" applyProtection="0">
      <alignment vertical="center"/>
    </xf>
    <xf numFmtId="0" fontId="205" fillId="48" borderId="0" applyNumberFormat="0" applyBorder="0" applyAlignment="0" applyProtection="0">
      <alignment vertical="center"/>
    </xf>
    <xf numFmtId="176" fontId="205" fillId="48" borderId="0" applyNumberFormat="0" applyBorder="0" applyAlignment="0" applyProtection="0">
      <alignment vertical="center"/>
    </xf>
    <xf numFmtId="0" fontId="179" fillId="49" borderId="0" applyProtection="0"/>
    <xf numFmtId="0" fontId="227" fillId="49" borderId="0" applyNumberFormat="0" applyBorder="0" applyAlignment="0" applyProtection="0">
      <alignment vertical="center"/>
    </xf>
    <xf numFmtId="0" fontId="158" fillId="0" borderId="0" applyNumberFormat="0" applyFill="0" applyBorder="0" applyAlignment="0" applyProtection="0">
      <alignment vertical="top"/>
      <protection locked="0"/>
    </xf>
    <xf numFmtId="0" fontId="97" fillId="49" borderId="0" applyNumberFormat="0" applyBorder="0" applyAlignment="0" applyProtection="0">
      <alignment vertical="center"/>
    </xf>
    <xf numFmtId="0" fontId="12" fillId="0" borderId="0" applyNumberFormat="0" applyFill="0" applyBorder="0" applyAlignment="0" applyProtection="0"/>
    <xf numFmtId="0" fontId="12" fillId="0" borderId="0" applyProtection="0">
      <alignment vertical="center"/>
    </xf>
    <xf numFmtId="0" fontId="0" fillId="0" borderId="0"/>
    <xf numFmtId="0" fontId="19" fillId="0" borderId="0"/>
    <xf numFmtId="0" fontId="209" fillId="0" borderId="0">
      <alignment vertical="center"/>
    </xf>
    <xf numFmtId="0" fontId="12" fillId="0" borderId="0" applyNumberFormat="0" applyFill="0" applyBorder="0" applyAlignment="0" applyProtection="0">
      <alignment vertical="top"/>
      <protection locked="0"/>
    </xf>
    <xf numFmtId="176" fontId="103" fillId="0" borderId="0">
      <alignment vertical="center"/>
    </xf>
    <xf numFmtId="176" fontId="19" fillId="0" borderId="0">
      <alignment vertical="center"/>
    </xf>
    <xf numFmtId="0" fontId="12" fillId="0" borderId="0"/>
    <xf numFmtId="0" fontId="12" fillId="0" borderId="0"/>
    <xf numFmtId="0" fontId="22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229" fillId="0" borderId="0" applyNumberFormat="0" applyFill="0" applyBorder="0" applyAlignment="0" applyProtection="0">
      <alignment vertical="top"/>
      <protection locked="0"/>
    </xf>
    <xf numFmtId="0" fontId="102" fillId="57" borderId="0" applyNumberFormat="0" applyBorder="0" applyAlignment="0" applyProtection="0">
      <alignment vertical="center"/>
    </xf>
    <xf numFmtId="0" fontId="102" fillId="61" borderId="0" applyNumberFormat="0" applyBorder="0" applyAlignment="0" applyProtection="0">
      <alignment vertical="center"/>
    </xf>
    <xf numFmtId="0" fontId="102" fillId="74" borderId="0" applyNumberFormat="0" applyBorder="0" applyAlignment="0" applyProtection="0">
      <alignment vertical="center"/>
    </xf>
    <xf numFmtId="0" fontId="230" fillId="49" borderId="0" applyNumberFormat="0" applyBorder="0" applyAlignment="0" applyProtection="0">
      <alignment vertical="center"/>
    </xf>
    <xf numFmtId="176" fontId="169" fillId="54" borderId="0" applyNumberFormat="0" applyBorder="0" applyAlignment="0" applyProtection="0">
      <alignment vertical="center"/>
    </xf>
    <xf numFmtId="0" fontId="148" fillId="62" borderId="0" applyNumberFormat="0" applyBorder="0" applyAlignment="0" applyProtection="0">
      <alignment vertical="center"/>
    </xf>
    <xf numFmtId="0" fontId="169" fillId="54" borderId="0" applyProtection="0"/>
    <xf numFmtId="0" fontId="231" fillId="54" borderId="0" applyNumberFormat="0" applyBorder="0" applyAlignment="0" applyProtection="0">
      <alignment vertical="center"/>
    </xf>
    <xf numFmtId="0" fontId="232" fillId="54" borderId="0" applyNumberFormat="0" applyBorder="0" applyAlignment="0" applyProtection="0">
      <alignment vertical="center"/>
    </xf>
    <xf numFmtId="0" fontId="148" fillId="54" borderId="0" applyNumberFormat="0" applyBorder="0" applyAlignment="0" applyProtection="0"/>
    <xf numFmtId="0" fontId="18" fillId="0" borderId="0"/>
    <xf numFmtId="176" fontId="148" fillId="54" borderId="0" applyNumberFormat="0" applyBorder="0" applyAlignment="0" applyProtection="0"/>
    <xf numFmtId="38" fontId="233" fillId="0" borderId="0" applyFont="0" applyFill="0" applyBorder="0" applyAlignment="0" applyProtection="0">
      <alignment vertical="center"/>
    </xf>
    <xf numFmtId="0" fontId="234" fillId="0" borderId="0" applyNumberFormat="0" applyFill="0" applyBorder="0" applyAlignment="0" applyProtection="0">
      <alignment vertical="top"/>
      <protection locked="0"/>
    </xf>
    <xf numFmtId="176" fontId="183" fillId="0" borderId="0" applyNumberFormat="0" applyFill="0" applyBorder="0" applyAlignment="0" applyProtection="0">
      <alignment vertical="top"/>
      <protection locked="0"/>
    </xf>
    <xf numFmtId="0" fontId="235" fillId="49" borderId="0" applyNumberFormat="0" applyBorder="0" applyAlignment="0" applyProtection="0">
      <alignment vertical="center"/>
    </xf>
    <xf numFmtId="0" fontId="12" fillId="0" borderId="0" applyNumberFormat="0" applyFont="0" applyBorder="0" applyAlignment="0">
      <alignment horizontal="center" vertical="center"/>
    </xf>
    <xf numFmtId="224" fontId="103" fillId="0" borderId="0" applyFont="0" applyFill="0" applyBorder="0" applyAlignment="0" applyProtection="0">
      <alignment vertical="center"/>
    </xf>
    <xf numFmtId="44" fontId="12" fillId="0" borderId="0" applyFont="0" applyFill="0" applyBorder="0" applyAlignment="0" applyProtection="0">
      <alignment vertical="center"/>
    </xf>
    <xf numFmtId="225" fontId="103" fillId="0" borderId="0" applyFont="0" applyFill="0" applyBorder="0" applyAlignment="0" applyProtection="0">
      <alignment vertical="center"/>
    </xf>
    <xf numFmtId="176" fontId="87" fillId="69" borderId="0" applyNumberFormat="0" applyBorder="0" applyAlignment="0" applyProtection="0"/>
    <xf numFmtId="226" fontId="219" fillId="0" borderId="0" applyFont="0" applyFill="0" applyBorder="0" applyAlignment="0" applyProtection="0"/>
    <xf numFmtId="227" fontId="219" fillId="0" borderId="0" applyFont="0" applyFill="0" applyBorder="0" applyAlignment="0" applyProtection="0"/>
    <xf numFmtId="0" fontId="236" fillId="46" borderId="27" applyNumberFormat="0" applyAlignment="0" applyProtection="0">
      <alignment vertical="center"/>
    </xf>
    <xf numFmtId="0" fontId="237" fillId="0" borderId="0" applyNumberFormat="0" applyFill="0" applyBorder="0" applyAlignment="0" applyProtection="0">
      <alignment vertical="center"/>
    </xf>
    <xf numFmtId="0" fontId="200" fillId="0" borderId="0" applyProtection="0"/>
    <xf numFmtId="0" fontId="160" fillId="0" borderId="23" applyNumberFormat="0" applyFill="0" applyProtection="0">
      <alignment horizontal="left"/>
    </xf>
    <xf numFmtId="176" fontId="160" fillId="0" borderId="23" applyNumberFormat="0" applyFill="0" applyProtection="0">
      <alignment horizontal="left" vertical="center"/>
    </xf>
    <xf numFmtId="0" fontId="215" fillId="0" borderId="0" applyProtection="0"/>
    <xf numFmtId="0" fontId="238" fillId="0" borderId="0">
      <alignment vertical="center"/>
    </xf>
    <xf numFmtId="228" fontId="12" fillId="0" borderId="0" applyFont="0" applyFill="0" applyBorder="0" applyAlignment="0" applyProtection="0">
      <alignment vertical="center"/>
    </xf>
    <xf numFmtId="229" fontId="12" fillId="0" borderId="0" applyFont="0" applyFill="0" applyBorder="0" applyAlignment="0" applyProtection="0">
      <alignment vertical="center"/>
    </xf>
    <xf numFmtId="219" fontId="12" fillId="0" borderId="0" applyFont="0" applyFill="0" applyBorder="0" applyAlignment="0" applyProtection="0">
      <alignment vertical="center"/>
    </xf>
    <xf numFmtId="197" fontId="12" fillId="0" borderId="0" applyFont="0" applyFill="0" applyBorder="0" applyAlignment="0" applyProtection="0">
      <alignment vertical="center"/>
    </xf>
    <xf numFmtId="230" fontId="12" fillId="0" borderId="0" applyFont="0" applyFill="0" applyBorder="0" applyAlignment="0" applyProtection="0">
      <alignment vertical="center"/>
    </xf>
    <xf numFmtId="41" fontId="92" fillId="0" borderId="0" applyFont="0" applyFill="0" applyBorder="0" applyAlignment="0" applyProtection="0"/>
    <xf numFmtId="43" fontId="10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Protection="0"/>
    <xf numFmtId="231" fontId="92" fillId="0" borderId="0" applyFont="0" applyFill="0" applyBorder="0" applyAlignment="0" applyProtection="0">
      <alignment vertical="center"/>
    </xf>
    <xf numFmtId="208" fontId="103" fillId="0" borderId="0" applyFont="0" applyFill="0" applyBorder="0" applyAlignment="0" applyProtection="0">
      <alignment vertical="center"/>
    </xf>
    <xf numFmtId="232" fontId="12" fillId="0" borderId="0" applyFont="0" applyFill="0" applyBorder="0" applyAlignment="0" applyProtection="0">
      <alignment vertical="center"/>
    </xf>
    <xf numFmtId="0" fontId="239" fillId="0" borderId="0">
      <alignment vertical="center"/>
    </xf>
    <xf numFmtId="0" fontId="124" fillId="65" borderId="0" applyNumberFormat="0" applyBorder="0" applyAlignment="0" applyProtection="0">
      <alignment vertical="center"/>
    </xf>
    <xf numFmtId="0" fontId="124" fillId="61" borderId="0" applyNumberFormat="0" applyBorder="0" applyAlignment="0" applyProtection="0">
      <alignment vertical="center"/>
    </xf>
    <xf numFmtId="0" fontId="240" fillId="0" borderId="0"/>
    <xf numFmtId="0" fontId="124" fillId="74" borderId="0" applyNumberFormat="0" applyBorder="0" applyAlignment="0" applyProtection="0">
      <alignment vertical="center"/>
    </xf>
    <xf numFmtId="0" fontId="87" fillId="86" borderId="0" applyNumberFormat="0" applyBorder="0" applyAlignment="0" applyProtection="0">
      <alignment vertical="center"/>
    </xf>
    <xf numFmtId="176" fontId="87" fillId="86" borderId="0" applyNumberFormat="0" applyBorder="0" applyAlignment="0" applyProtection="0">
      <alignment vertical="center"/>
    </xf>
    <xf numFmtId="176" fontId="87" fillId="86" borderId="0" applyNumberFormat="0" applyBorder="0" applyAlignment="0" applyProtection="0"/>
    <xf numFmtId="176" fontId="87" fillId="69" borderId="0" applyNumberFormat="0" applyBorder="0" applyAlignment="0" applyProtection="0">
      <alignment vertical="center"/>
    </xf>
    <xf numFmtId="0" fontId="87" fillId="45" borderId="0" applyNumberFormat="0" applyBorder="0" applyAlignment="0" applyProtection="0">
      <alignment vertical="center"/>
    </xf>
    <xf numFmtId="176" fontId="87" fillId="45" borderId="0" applyNumberFormat="0" applyBorder="0" applyAlignment="0" applyProtection="0">
      <alignment vertical="center"/>
    </xf>
    <xf numFmtId="0" fontId="92" fillId="0" borderId="12" applyNumberFormat="0" applyFill="0" applyProtection="0">
      <alignment horizontal="left"/>
    </xf>
    <xf numFmtId="176" fontId="92" fillId="0" borderId="12" applyNumberFormat="0" applyFill="0" applyProtection="0">
      <alignment horizontal="left" vertical="center"/>
    </xf>
    <xf numFmtId="0" fontId="241" fillId="0" borderId="0" applyNumberFormat="0" applyFill="0" applyBorder="0" applyAlignment="0" applyProtection="0">
      <alignment vertical="center"/>
    </xf>
    <xf numFmtId="0" fontId="242" fillId="0" borderId="0" applyNumberFormat="0" applyFill="0" applyBorder="0" applyAlignment="0" applyProtection="0">
      <alignment vertical="top"/>
      <protection locked="0"/>
    </xf>
    <xf numFmtId="181" fontId="92" fillId="0" borderId="0" applyFont="0" applyFill="0" applyBorder="0" applyAlignment="0" applyProtection="0"/>
    <xf numFmtId="0" fontId="193" fillId="0" borderId="0">
      <alignment vertical="center"/>
    </xf>
    <xf numFmtId="0" fontId="243" fillId="0" borderId="0"/>
    <xf numFmtId="0" fontId="168" fillId="0" borderId="0" applyFont="0" applyFill="0" applyBorder="0" applyAlignment="0" applyProtection="0"/>
    <xf numFmtId="10" fontId="92" fillId="0" borderId="0" applyFont="0" applyFill="0" applyBorder="0" applyAlignment="0" applyProtection="0"/>
    <xf numFmtId="0" fontId="244" fillId="0" borderId="0">
      <alignment vertical="center"/>
    </xf>
    <xf numFmtId="38" fontId="123" fillId="0" borderId="0" applyFont="0" applyFill="0" applyBorder="0" applyAlignment="0" applyProtection="0">
      <alignment vertical="center"/>
    </xf>
    <xf numFmtId="0" fontId="245" fillId="68" borderId="0" applyNumberFormat="0" applyBorder="0" applyAlignment="0" applyProtection="0">
      <alignment vertical="center"/>
    </xf>
    <xf numFmtId="0" fontId="246" fillId="68" borderId="0" applyNumberFormat="0" applyBorder="0" applyAlignment="0" applyProtection="0">
      <alignment vertical="center"/>
    </xf>
    <xf numFmtId="0" fontId="99" fillId="51" borderId="26" applyNumberFormat="0" applyFont="0" applyAlignment="0" applyProtection="0">
      <alignment vertical="center"/>
    </xf>
    <xf numFmtId="0" fontId="247" fillId="0" borderId="0" applyNumberFormat="0" applyFill="0" applyBorder="0" applyAlignment="0" applyProtection="0">
      <alignment vertical="center"/>
    </xf>
    <xf numFmtId="0" fontId="248" fillId="42" borderId="22" applyNumberFormat="0" applyAlignment="0" applyProtection="0">
      <alignment vertical="center"/>
    </xf>
    <xf numFmtId="0" fontId="249" fillId="0" borderId="32" applyNumberFormat="0" applyFill="0" applyAlignment="0" applyProtection="0">
      <alignment vertical="center"/>
    </xf>
    <xf numFmtId="0" fontId="250" fillId="0" borderId="30" applyNumberFormat="0" applyFill="0" applyAlignment="0" applyProtection="0">
      <alignment vertical="center"/>
    </xf>
    <xf numFmtId="0" fontId="251" fillId="0" borderId="25" applyNumberFormat="0" applyFill="0" applyAlignment="0" applyProtection="0">
      <alignment vertical="center"/>
    </xf>
    <xf numFmtId="0" fontId="252" fillId="0" borderId="29" applyNumberFormat="0" applyFill="0" applyAlignment="0" applyProtection="0">
      <alignment vertical="center"/>
    </xf>
    <xf numFmtId="0" fontId="252" fillId="0" borderId="0" applyNumberFormat="0" applyFill="0" applyBorder="0" applyAlignment="0" applyProtection="0">
      <alignment vertical="center"/>
    </xf>
    <xf numFmtId="0" fontId="104" fillId="0" borderId="0" applyFont="0" applyFill="0" applyBorder="0" applyAlignment="0" applyProtection="0"/>
  </cellStyleXfs>
  <cellXfs count="275">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233" fontId="0" fillId="0" borderId="1" xfId="0" applyNumberFormat="1" applyBorder="1">
      <alignment vertical="center"/>
    </xf>
    <xf numFmtId="0" fontId="0" fillId="0" borderId="1" xfId="0" applyFont="1" applyBorder="1">
      <alignment vertical="center"/>
    </xf>
    <xf numFmtId="0" fontId="2" fillId="0" borderId="1" xfId="0" applyFont="1" applyBorder="1">
      <alignment vertical="center"/>
    </xf>
    <xf numFmtId="233" fontId="2" fillId="0" borderId="1" xfId="0" applyNumberFormat="1" applyFont="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0" xfId="573" applyFont="1" applyFill="1" applyAlignment="1">
      <alignment horizontal="center" vertical="center" wrapText="1"/>
    </xf>
    <xf numFmtId="0" fontId="4" fillId="0" borderId="0" xfId="573" applyFont="1" applyFill="1" applyAlignment="1">
      <alignment horizontal="left" vertical="center" wrapText="1"/>
    </xf>
    <xf numFmtId="233" fontId="4" fillId="0" borderId="0" xfId="573" applyNumberFormat="1" applyFont="1" applyFill="1" applyAlignment="1">
      <alignment horizontal="center" vertical="center" wrapText="1"/>
    </xf>
    <xf numFmtId="0" fontId="5" fillId="0" borderId="1" xfId="573" applyFont="1" applyFill="1" applyBorder="1" applyAlignment="1">
      <alignment horizontal="center" vertical="center" wrapText="1"/>
    </xf>
    <xf numFmtId="233" fontId="5" fillId="0" borderId="1" xfId="573"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34"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233"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233" fontId="5" fillId="0" borderId="1" xfId="0" applyNumberFormat="1" applyFont="1" applyFill="1" applyBorder="1" applyAlignment="1">
      <alignment horizontal="center" vertical="center"/>
    </xf>
    <xf numFmtId="0" fontId="8" fillId="0" borderId="0" xfId="0" applyFont="1" applyAlignment="1">
      <alignment horizontal="center" vertical="center" wrapText="1"/>
    </xf>
    <xf numFmtId="0" fontId="9" fillId="0" borderId="1" xfId="559" applyFont="1" applyBorder="1" applyAlignment="1">
      <alignment horizontal="center" vertical="center"/>
    </xf>
    <xf numFmtId="235" fontId="9" fillId="0" borderId="1" xfId="319" applyNumberFormat="1" applyFont="1" applyFill="1" applyBorder="1" applyAlignment="1">
      <alignment horizontal="center" vertical="center" wrapText="1"/>
    </xf>
    <xf numFmtId="182" fontId="9" fillId="0" borderId="1" xfId="319"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lignment vertical="center"/>
    </xf>
    <xf numFmtId="233" fontId="10" fillId="0" borderId="1" xfId="0" applyNumberFormat="1" applyFont="1" applyBorder="1">
      <alignment vertical="center"/>
    </xf>
    <xf numFmtId="0" fontId="10" fillId="0" borderId="1" xfId="0" applyFont="1" applyBorder="1" applyAlignment="1">
      <alignment vertical="center" wrapText="1"/>
    </xf>
    <xf numFmtId="10" fontId="10" fillId="0" borderId="1" xfId="0" applyNumberFormat="1" applyFont="1" applyBorder="1">
      <alignment vertical="center"/>
    </xf>
    <xf numFmtId="0" fontId="11" fillId="0" borderId="1" xfId="0" applyFont="1" applyBorder="1" applyAlignment="1">
      <alignment horizontal="center" vertical="center"/>
    </xf>
    <xf numFmtId="233" fontId="11" fillId="0" borderId="1" xfId="0" applyNumberFormat="1" applyFont="1" applyBorder="1">
      <alignment vertical="center"/>
    </xf>
    <xf numFmtId="0" fontId="12" fillId="0" borderId="0" xfId="471" applyAlignment="1">
      <alignment vertical="center"/>
    </xf>
    <xf numFmtId="0" fontId="12" fillId="0" borderId="0" xfId="471" applyFont="1" applyAlignment="1">
      <alignment vertical="center"/>
    </xf>
    <xf numFmtId="0" fontId="13" fillId="0" borderId="0" xfId="201" applyFont="1" applyAlignment="1">
      <alignment horizontal="center" vertical="center" wrapText="1"/>
    </xf>
    <xf numFmtId="0" fontId="14" fillId="0" borderId="0" xfId="201" applyFont="1" applyAlignment="1">
      <alignment vertical="top" wrapText="1"/>
    </xf>
    <xf numFmtId="0" fontId="15" fillId="0" borderId="0" xfId="273" applyFont="1" applyAlignment="1">
      <alignment horizontal="left" vertical="center" wrapText="1"/>
    </xf>
    <xf numFmtId="0" fontId="16" fillId="0" borderId="0" xfId="201" applyFont="1" applyAlignment="1">
      <alignment vertical="top" wrapText="1"/>
    </xf>
    <xf numFmtId="0" fontId="17" fillId="0" borderId="0" xfId="273" applyFont="1" applyAlignment="1">
      <alignment horizontal="left" vertical="center" wrapText="1"/>
    </xf>
    <xf numFmtId="0" fontId="16" fillId="0" borderId="0" xfId="273" applyFont="1" applyAlignment="1">
      <alignment vertical="top" wrapText="1"/>
    </xf>
    <xf numFmtId="0" fontId="16" fillId="0" borderId="0" xfId="273" applyFont="1" applyAlignment="1" applyProtection="1">
      <alignment vertical="top" wrapText="1"/>
      <protection locked="0"/>
    </xf>
    <xf numFmtId="0" fontId="16" fillId="0" borderId="0" xfId="201" applyFont="1" applyAlignment="1" applyProtection="1">
      <alignment vertical="top" wrapText="1"/>
      <protection locked="0"/>
    </xf>
    <xf numFmtId="0" fontId="18" fillId="0" borderId="0" xfId="0" applyFont="1" applyFill="1" applyAlignment="1"/>
    <xf numFmtId="0" fontId="19" fillId="2" borderId="0" xfId="573" applyFont="1" applyFill="1" applyAlignment="1">
      <alignment horizontal="left" vertical="center" wrapText="1"/>
    </xf>
    <xf numFmtId="0" fontId="20" fillId="2" borderId="0" xfId="573" applyFont="1" applyFill="1" applyAlignment="1">
      <alignment horizontal="center" wrapText="1"/>
    </xf>
    <xf numFmtId="0" fontId="21" fillId="2" borderId="0" xfId="573" applyFont="1" applyFill="1" applyAlignment="1">
      <alignment horizontal="left" wrapText="1"/>
    </xf>
    <xf numFmtId="0" fontId="12" fillId="2" borderId="0" xfId="573" applyFont="1" applyFill="1" applyAlignment="1">
      <alignment horizontal="right" vertical="center" wrapText="1"/>
    </xf>
    <xf numFmtId="0" fontId="22" fillId="2" borderId="8" xfId="573" applyFont="1" applyFill="1" applyBorder="1" applyAlignment="1">
      <alignment horizontal="left" vertical="center" wrapText="1"/>
    </xf>
    <xf numFmtId="0" fontId="21" fillId="2" borderId="0" xfId="573" applyFont="1" applyFill="1" applyAlignment="1">
      <alignment horizontal="center" wrapText="1"/>
    </xf>
    <xf numFmtId="0" fontId="23" fillId="2" borderId="0" xfId="573" applyFont="1" applyFill="1" applyAlignment="1">
      <alignment horizontal="center" vertical="center" wrapText="1"/>
    </xf>
    <xf numFmtId="0" fontId="21" fillId="2" borderId="0" xfId="573" applyFont="1" applyFill="1" applyAlignment="1">
      <alignment horizontal="center" vertical="top" wrapText="1"/>
    </xf>
    <xf numFmtId="0" fontId="12" fillId="2" borderId="0" xfId="573" applyFont="1" applyFill="1" applyAlignment="1">
      <alignment horizontal="center" vertical="center" wrapText="1"/>
    </xf>
    <xf numFmtId="0" fontId="12" fillId="2" borderId="0" xfId="573" applyFont="1" applyFill="1" applyAlignment="1">
      <alignment horizontal="left" wrapText="1"/>
    </xf>
    <xf numFmtId="0" fontId="12" fillId="2" borderId="0" xfId="573" applyFont="1" applyFill="1" applyAlignment="1">
      <alignment horizontal="right" wrapText="1"/>
    </xf>
    <xf numFmtId="0" fontId="19" fillId="2" borderId="0" xfId="573" applyFont="1" applyFill="1" applyAlignment="1">
      <alignment horizontal="center" vertical="center" wrapText="1"/>
    </xf>
    <xf numFmtId="0" fontId="6" fillId="2" borderId="0" xfId="573" applyFont="1" applyFill="1" applyBorder="1" applyAlignment="1">
      <alignment horizontal="center" wrapText="1"/>
    </xf>
    <xf numFmtId="0" fontId="24" fillId="2" borderId="8" xfId="573" applyFont="1" applyFill="1" applyBorder="1" applyAlignment="1">
      <alignment horizontal="left" wrapText="1"/>
    </xf>
    <xf numFmtId="0" fontId="12" fillId="2" borderId="8" xfId="573" applyFont="1" applyFill="1" applyBorder="1" applyAlignment="1">
      <alignment horizontal="left" wrapText="1"/>
    </xf>
    <xf numFmtId="0" fontId="12" fillId="2" borderId="9" xfId="573" applyFont="1" applyFill="1" applyBorder="1" applyAlignment="1">
      <alignment horizontal="center" wrapText="1"/>
    </xf>
    <xf numFmtId="0" fontId="24" fillId="2" borderId="10" xfId="573" applyFont="1" applyFill="1" applyBorder="1" applyAlignment="1">
      <alignment horizontal="left" wrapText="1"/>
    </xf>
    <xf numFmtId="0" fontId="12" fillId="2" borderId="10" xfId="573" applyFont="1" applyFill="1" applyBorder="1" applyAlignment="1">
      <alignment horizontal="left" wrapText="1"/>
    </xf>
    <xf numFmtId="0" fontId="6" fillId="2" borderId="0" xfId="573" applyFont="1" applyFill="1" applyAlignment="1">
      <alignment horizontal="left" wrapText="1"/>
    </xf>
    <xf numFmtId="0" fontId="12" fillId="2" borderId="0" xfId="573" applyFont="1" applyFill="1" applyAlignment="1">
      <alignment vertical="center" wrapText="1"/>
    </xf>
    <xf numFmtId="0" fontId="6" fillId="2" borderId="0" xfId="573" applyFont="1" applyFill="1" applyAlignment="1">
      <alignment horizontal="center" vertical="center" wrapText="1"/>
    </xf>
    <xf numFmtId="31" fontId="24" fillId="2" borderId="0" xfId="573" applyNumberFormat="1" applyFont="1" applyFill="1" applyAlignment="1">
      <alignment horizontal="left" wrapText="1"/>
    </xf>
    <xf numFmtId="0" fontId="25" fillId="0" borderId="0" xfId="0" applyFont="1">
      <alignment vertical="center"/>
    </xf>
    <xf numFmtId="0" fontId="26" fillId="0" borderId="0" xfId="0" applyFont="1" applyAlignment="1">
      <alignment vertical="center" wrapText="1"/>
    </xf>
    <xf numFmtId="0" fontId="27" fillId="0" borderId="0" xfId="0" applyFont="1">
      <alignment vertical="center"/>
    </xf>
    <xf numFmtId="0" fontId="1" fillId="0" borderId="0" xfId="0" applyFont="1">
      <alignmen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7" fillId="0" borderId="1" xfId="0" applyFont="1" applyBorder="1" applyAlignment="1">
      <alignment vertical="center"/>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applyAlignment="1">
      <alignment horizontal="left" vertical="center" wrapText="1"/>
    </xf>
    <xf numFmtId="0" fontId="29" fillId="0" borderId="1" xfId="0" applyFont="1" applyBorder="1" applyAlignment="1">
      <alignment horizontal="center" vertical="center" wrapText="1"/>
    </xf>
    <xf numFmtId="233"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233" fontId="2" fillId="0" borderId="12" xfId="0" applyNumberFormat="1" applyFont="1" applyBorder="1" applyAlignment="1">
      <alignment horizontal="center" vertical="center"/>
    </xf>
    <xf numFmtId="0" fontId="30" fillId="0" borderId="12" xfId="0" applyFont="1" applyBorder="1" applyAlignment="1">
      <alignment vertical="center" wrapText="1"/>
    </xf>
    <xf numFmtId="0" fontId="18" fillId="3" borderId="0" xfId="573" applyFill="1"/>
    <xf numFmtId="0" fontId="18" fillId="4" borderId="0" xfId="573" applyFill="1"/>
    <xf numFmtId="0" fontId="18" fillId="3" borderId="0" xfId="573" applyFont="1" applyFill="1"/>
    <xf numFmtId="0" fontId="18" fillId="3" borderId="0" xfId="573" applyFont="1" applyFill="1" applyAlignment="1">
      <alignment horizontal="center" vertical="center"/>
    </xf>
    <xf numFmtId="233" fontId="18" fillId="3" borderId="0" xfId="573" applyNumberFormat="1" applyFont="1" applyFill="1" applyAlignment="1">
      <alignment horizontal="center"/>
    </xf>
    <xf numFmtId="0" fontId="18" fillId="3" borderId="0" xfId="573" applyFont="1" applyFill="1" applyAlignment="1">
      <alignment horizontal="left" vertical="center"/>
    </xf>
    <xf numFmtId="0" fontId="18" fillId="3" borderId="0" xfId="573" applyFill="1" applyAlignment="1">
      <alignment horizontal="center" vertical="center"/>
    </xf>
    <xf numFmtId="0" fontId="18" fillId="3" borderId="0" xfId="573" applyNumberFormat="1" applyFill="1" applyAlignment="1">
      <alignment horizontal="center" vertical="center"/>
    </xf>
    <xf numFmtId="0" fontId="31" fillId="5" borderId="0" xfId="573" applyFont="1" applyFill="1" applyAlignment="1">
      <alignment horizontal="center" vertical="center" wrapText="1"/>
    </xf>
    <xf numFmtId="0" fontId="32" fillId="5" borderId="0" xfId="573" applyFont="1" applyFill="1" applyAlignment="1">
      <alignment horizontal="center" vertical="center" wrapText="1"/>
    </xf>
    <xf numFmtId="0" fontId="32" fillId="3" borderId="0" xfId="573" applyFont="1" applyFill="1" applyAlignment="1">
      <alignment horizontal="center" vertical="center" wrapText="1"/>
    </xf>
    <xf numFmtId="233" fontId="32" fillId="5" borderId="0" xfId="573" applyNumberFormat="1" applyFont="1" applyFill="1" applyAlignment="1">
      <alignment horizontal="center" vertical="center" wrapText="1"/>
    </xf>
    <xf numFmtId="0" fontId="32" fillId="5" borderId="0" xfId="573" applyFont="1" applyFill="1" applyAlignment="1">
      <alignment horizontal="left" vertical="center" wrapText="1"/>
    </xf>
    <xf numFmtId="0" fontId="33" fillId="5" borderId="1" xfId="573" applyFont="1" applyFill="1" applyBorder="1" applyAlignment="1">
      <alignment horizontal="center" vertical="center" wrapText="1"/>
    </xf>
    <xf numFmtId="0" fontId="33" fillId="3" borderId="1" xfId="573" applyFont="1" applyFill="1" applyBorder="1" applyAlignment="1">
      <alignment horizontal="center" vertical="center" wrapText="1"/>
    </xf>
    <xf numFmtId="233" fontId="33" fillId="5" borderId="1" xfId="573"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4" fillId="5" borderId="1" xfId="573" applyFont="1" applyFill="1" applyBorder="1" applyAlignment="1">
      <alignment horizontal="center" vertical="center" wrapText="1"/>
    </xf>
    <xf numFmtId="0" fontId="35" fillId="3" borderId="0" xfId="573" applyFont="1" applyFill="1" applyAlignment="1">
      <alignment horizontal="center" vertical="center"/>
    </xf>
    <xf numFmtId="0" fontId="35" fillId="3" borderId="0" xfId="573" applyNumberFormat="1" applyFont="1" applyFill="1" applyAlignment="1">
      <alignment horizontal="center" vertical="center"/>
    </xf>
    <xf numFmtId="0" fontId="18" fillId="3" borderId="0" xfId="573" applyFont="1" applyFill="1" applyAlignment="1"/>
    <xf numFmtId="0" fontId="36" fillId="3" borderId="0" xfId="573" applyFont="1" applyFill="1" applyAlignment="1">
      <alignment horizontal="center" vertical="center"/>
    </xf>
    <xf numFmtId="0" fontId="33" fillId="5" borderId="1" xfId="573" applyFont="1" applyFill="1" applyBorder="1" applyAlignment="1">
      <alignment horizontal="left" vertical="center" wrapText="1"/>
    </xf>
    <xf numFmtId="0" fontId="33" fillId="3" borderId="1" xfId="573" applyFont="1" applyFill="1" applyBorder="1" applyAlignment="1">
      <alignment horizontal="left" vertical="center" wrapText="1"/>
    </xf>
    <xf numFmtId="0" fontId="18" fillId="3" borderId="1" xfId="573" applyFill="1" applyBorder="1" applyAlignment="1">
      <alignment horizontal="center" vertical="center"/>
    </xf>
    <xf numFmtId="0" fontId="37" fillId="5" borderId="1" xfId="573" applyFont="1" applyFill="1" applyBorder="1" applyAlignment="1">
      <alignment horizontal="right" vertical="center" wrapText="1"/>
    </xf>
    <xf numFmtId="2" fontId="18" fillId="3" borderId="0" xfId="573" applyNumberFormat="1" applyFill="1" applyAlignment="1">
      <alignment horizontal="center" vertical="center"/>
    </xf>
    <xf numFmtId="0" fontId="36" fillId="3" borderId="1" xfId="573" applyFont="1" applyFill="1" applyBorder="1" applyAlignment="1">
      <alignment horizontal="center" vertical="center"/>
    </xf>
    <xf numFmtId="0" fontId="33" fillId="5" borderId="1" xfId="573" applyFont="1" applyFill="1" applyBorder="1" applyAlignment="1">
      <alignment horizontal="right" vertical="center" wrapText="1"/>
    </xf>
    <xf numFmtId="233" fontId="33" fillId="3" borderId="1" xfId="573" applyNumberFormat="1" applyFont="1" applyFill="1" applyBorder="1" applyAlignment="1">
      <alignment horizontal="center" vertical="center" wrapText="1"/>
    </xf>
    <xf numFmtId="0" fontId="28" fillId="5" borderId="1" xfId="573" applyFont="1" applyFill="1" applyBorder="1" applyAlignment="1">
      <alignment horizontal="left" vertical="center" wrapText="1"/>
    </xf>
    <xf numFmtId="0" fontId="33" fillId="6" borderId="1" xfId="573" applyFont="1" applyFill="1" applyBorder="1" applyAlignment="1">
      <alignment horizontal="center" vertical="center" wrapText="1"/>
    </xf>
    <xf numFmtId="0" fontId="33" fillId="6" borderId="1" xfId="573" applyFont="1" applyFill="1" applyBorder="1" applyAlignment="1">
      <alignment horizontal="left" vertical="center" wrapText="1"/>
    </xf>
    <xf numFmtId="0" fontId="33" fillId="4" borderId="1" xfId="573" applyFont="1" applyFill="1" applyBorder="1" applyAlignment="1">
      <alignment horizontal="center" vertical="center" wrapText="1"/>
    </xf>
    <xf numFmtId="0" fontId="18" fillId="4" borderId="1" xfId="573" applyFill="1" applyBorder="1" applyAlignment="1">
      <alignment horizontal="center" vertical="center"/>
    </xf>
    <xf numFmtId="0" fontId="33" fillId="6" borderId="1" xfId="573" applyFont="1" applyFill="1" applyBorder="1" applyAlignment="1">
      <alignment horizontal="right" vertical="center" wrapText="1"/>
    </xf>
    <xf numFmtId="233" fontId="33" fillId="6" borderId="1" xfId="573" applyNumberFormat="1" applyFont="1" applyFill="1" applyBorder="1" applyAlignment="1">
      <alignment horizontal="center" vertical="center" wrapText="1"/>
    </xf>
    <xf numFmtId="0" fontId="35" fillId="4" borderId="0" xfId="573" applyFont="1" applyFill="1" applyAlignment="1">
      <alignment horizontal="center" vertical="center"/>
    </xf>
    <xf numFmtId="0" fontId="18" fillId="4" borderId="0" xfId="573" applyNumberFormat="1" applyFill="1" applyAlignment="1">
      <alignment horizontal="center" vertical="center"/>
    </xf>
    <xf numFmtId="0" fontId="18" fillId="4" borderId="0" xfId="573" applyFill="1" applyAlignment="1">
      <alignment horizontal="center" vertical="center"/>
    </xf>
    <xf numFmtId="0" fontId="35" fillId="3" borderId="0" xfId="573" applyFont="1" applyFill="1" applyAlignment="1">
      <alignment vertical="center"/>
    </xf>
    <xf numFmtId="0" fontId="38" fillId="5" borderId="1" xfId="573" applyFont="1" applyFill="1" applyBorder="1" applyAlignment="1">
      <alignment horizontal="center" vertical="center" wrapText="1"/>
    </xf>
    <xf numFmtId="233" fontId="18" fillId="3" borderId="0" xfId="573" applyNumberFormat="1" applyFill="1" applyAlignment="1">
      <alignment horizontal="center" vertical="center"/>
    </xf>
    <xf numFmtId="0" fontId="33" fillId="4" borderId="1" xfId="573" applyFont="1" applyFill="1" applyBorder="1" applyAlignment="1">
      <alignment horizontal="left" vertical="center" wrapText="1"/>
    </xf>
    <xf numFmtId="0" fontId="36" fillId="4" borderId="1" xfId="573" applyFont="1" applyFill="1" applyBorder="1" applyAlignment="1">
      <alignment horizontal="center" vertical="center"/>
    </xf>
    <xf numFmtId="0" fontId="37" fillId="3" borderId="1" xfId="573" applyFont="1" applyFill="1" applyBorder="1" applyAlignment="1">
      <alignment horizontal="center" vertical="center" wrapText="1"/>
    </xf>
    <xf numFmtId="0" fontId="37" fillId="4" borderId="1" xfId="573" applyFont="1" applyFill="1" applyBorder="1" applyAlignment="1">
      <alignment horizontal="center" vertical="center" wrapText="1"/>
    </xf>
    <xf numFmtId="0" fontId="28" fillId="3" borderId="1" xfId="573" applyFont="1" applyFill="1" applyBorder="1" applyAlignment="1">
      <alignment horizontal="center" vertical="center" wrapText="1"/>
    </xf>
    <xf numFmtId="0" fontId="28" fillId="6" borderId="1" xfId="573" applyFont="1" applyFill="1" applyBorder="1" applyAlignment="1">
      <alignment horizontal="left" vertical="center" wrapText="1"/>
    </xf>
    <xf numFmtId="0" fontId="28" fillId="4" borderId="1" xfId="573" applyFont="1" applyFill="1" applyBorder="1" applyAlignment="1">
      <alignment horizontal="center" vertical="center" wrapText="1"/>
    </xf>
    <xf numFmtId="0" fontId="39" fillId="5" borderId="1" xfId="573" applyFont="1" applyFill="1" applyBorder="1" applyAlignment="1">
      <alignment horizontal="center" vertical="center" wrapText="1"/>
    </xf>
    <xf numFmtId="0" fontId="33" fillId="0" borderId="1" xfId="573" applyFont="1" applyFill="1" applyBorder="1" applyAlignment="1">
      <alignment horizontal="center" vertical="center" wrapText="1"/>
    </xf>
    <xf numFmtId="49" fontId="28" fillId="5" borderId="1" xfId="573" applyNumberFormat="1" applyFont="1" applyFill="1" applyBorder="1" applyAlignment="1">
      <alignment horizontal="left" vertical="center" wrapText="1"/>
    </xf>
    <xf numFmtId="49" fontId="33" fillId="4" borderId="1" xfId="573" applyNumberFormat="1" applyFont="1" applyFill="1" applyBorder="1" applyAlignment="1">
      <alignment horizontal="left" vertical="center" wrapText="1"/>
    </xf>
    <xf numFmtId="0" fontId="28" fillId="4" borderId="1" xfId="573" applyFont="1" applyFill="1" applyBorder="1" applyAlignment="1">
      <alignment horizontal="left" vertical="center" wrapText="1"/>
    </xf>
    <xf numFmtId="233" fontId="33" fillId="4" borderId="1" xfId="573" applyNumberFormat="1" applyFont="1" applyFill="1" applyBorder="1" applyAlignment="1">
      <alignment horizontal="center" vertical="center" wrapText="1"/>
    </xf>
    <xf numFmtId="0" fontId="33" fillId="7" borderId="1" xfId="573" applyFont="1" applyFill="1" applyBorder="1" applyAlignment="1">
      <alignment horizontal="left" vertical="center" wrapText="1"/>
    </xf>
    <xf numFmtId="233" fontId="40" fillId="7" borderId="2" xfId="0" applyNumberFormat="1" applyFont="1" applyFill="1" applyBorder="1" applyAlignment="1">
      <alignment horizontal="center" vertical="center" wrapText="1"/>
    </xf>
    <xf numFmtId="233" fontId="40" fillId="7" borderId="2" xfId="0" applyNumberFormat="1" applyFont="1" applyFill="1" applyBorder="1" applyAlignment="1">
      <alignment horizontal="center" vertical="center" wrapText="1" shrinkToFit="1"/>
    </xf>
    <xf numFmtId="233" fontId="40" fillId="7" borderId="2" xfId="0" applyNumberFormat="1" applyFont="1" applyFill="1" applyBorder="1" applyAlignment="1">
      <alignment horizontal="right" vertical="center" wrapText="1" shrinkToFit="1"/>
    </xf>
    <xf numFmtId="233" fontId="33" fillId="7" borderId="1" xfId="573" applyNumberFormat="1" applyFont="1" applyFill="1" applyBorder="1" applyAlignment="1">
      <alignment horizontal="center" vertical="center" wrapText="1"/>
    </xf>
    <xf numFmtId="0" fontId="28" fillId="7" borderId="1" xfId="573" applyFont="1" applyFill="1" applyBorder="1" applyAlignment="1">
      <alignment horizontal="left" vertical="center" wrapText="1"/>
    </xf>
    <xf numFmtId="0" fontId="35" fillId="3" borderId="0" xfId="573" applyFont="1" applyFill="1"/>
    <xf numFmtId="0" fontId="41" fillId="5" borderId="1" xfId="573" applyFont="1" applyFill="1" applyBorder="1" applyAlignment="1">
      <alignment horizontal="center" vertical="center" wrapText="1"/>
    </xf>
    <xf numFmtId="0" fontId="15" fillId="5" borderId="1" xfId="573" applyFont="1" applyFill="1" applyBorder="1" applyAlignment="1">
      <alignment horizontal="center" vertical="center" wrapText="1"/>
    </xf>
    <xf numFmtId="0" fontId="28" fillId="7" borderId="1" xfId="573" applyFont="1" applyFill="1" applyBorder="1" applyAlignment="1">
      <alignment horizontal="center" vertical="center" wrapText="1"/>
    </xf>
    <xf numFmtId="233" fontId="40" fillId="7" borderId="2" xfId="0" applyNumberFormat="1" applyFont="1" applyFill="1" applyBorder="1" applyAlignment="1" applyProtection="1">
      <alignment horizontal="center" vertical="center" wrapText="1" shrinkToFit="1"/>
      <protection locked="0"/>
    </xf>
    <xf numFmtId="233" fontId="28" fillId="7" borderId="1" xfId="573" applyNumberFormat="1" applyFont="1" applyFill="1" applyBorder="1" applyAlignment="1">
      <alignment horizontal="center" vertical="center" wrapText="1"/>
    </xf>
    <xf numFmtId="49" fontId="28" fillId="7" borderId="2" xfId="0" applyNumberFormat="1" applyFont="1" applyFill="1" applyBorder="1" applyAlignment="1">
      <alignment vertical="center" wrapText="1"/>
    </xf>
    <xf numFmtId="49" fontId="40" fillId="7" borderId="2" xfId="0" applyNumberFormat="1" applyFont="1" applyFill="1" applyBorder="1" applyAlignment="1">
      <alignment vertical="center" wrapText="1"/>
    </xf>
    <xf numFmtId="0" fontId="42" fillId="5" borderId="1" xfId="573" applyFont="1" applyFill="1" applyBorder="1" applyAlignment="1">
      <alignment horizontal="center" vertical="center" wrapText="1"/>
    </xf>
    <xf numFmtId="0" fontId="28" fillId="0" borderId="1" xfId="573" applyFont="1" applyFill="1" applyBorder="1" applyAlignment="1">
      <alignment horizontal="left" vertical="center" wrapText="1"/>
    </xf>
    <xf numFmtId="0" fontId="28" fillId="0" borderId="1" xfId="573" applyFont="1" applyFill="1" applyBorder="1" applyAlignment="1">
      <alignment horizontal="center" vertical="center" wrapText="1"/>
    </xf>
    <xf numFmtId="0" fontId="18" fillId="0" borderId="1" xfId="573" applyFill="1" applyBorder="1" applyAlignment="1">
      <alignment horizontal="center" vertical="center"/>
    </xf>
    <xf numFmtId="0" fontId="33" fillId="0" borderId="1" xfId="573" applyFont="1" applyFill="1" applyBorder="1" applyAlignment="1">
      <alignment horizontal="right" vertical="center" wrapText="1"/>
    </xf>
    <xf numFmtId="233" fontId="33" fillId="0" borderId="1" xfId="573" applyNumberFormat="1" applyFont="1" applyFill="1" applyBorder="1" applyAlignment="1">
      <alignment horizontal="center" vertical="center" wrapText="1"/>
    </xf>
    <xf numFmtId="0" fontId="33" fillId="0" borderId="1" xfId="573" applyFont="1" applyFill="1" applyBorder="1" applyAlignment="1">
      <alignment horizontal="left" vertical="center" wrapText="1"/>
    </xf>
    <xf numFmtId="0" fontId="43" fillId="5" borderId="1" xfId="573" applyFont="1" applyFill="1" applyBorder="1" applyAlignment="1">
      <alignment horizontal="center" vertical="center" wrapText="1"/>
    </xf>
    <xf numFmtId="0" fontId="44" fillId="5" borderId="1" xfId="573" applyFont="1" applyFill="1" applyBorder="1" applyAlignment="1">
      <alignment horizontal="center" vertical="center" wrapText="1"/>
    </xf>
    <xf numFmtId="0" fontId="45" fillId="5" borderId="1" xfId="573" applyFont="1" applyFill="1" applyBorder="1" applyAlignment="1">
      <alignment horizontal="center" vertical="center" wrapText="1"/>
    </xf>
    <xf numFmtId="0" fontId="37" fillId="6" borderId="1" xfId="573" applyFont="1" applyFill="1" applyBorder="1" applyAlignment="1">
      <alignment horizontal="left" vertical="center" wrapText="1"/>
    </xf>
    <xf numFmtId="233" fontId="18" fillId="3" borderId="0" xfId="573" applyNumberFormat="1" applyFont="1" applyFill="1" applyAlignment="1">
      <alignment horizontal="center" vertical="center"/>
    </xf>
    <xf numFmtId="0" fontId="36" fillId="3" borderId="0" xfId="573" applyFont="1" applyFill="1"/>
    <xf numFmtId="0" fontId="33" fillId="7" borderId="1" xfId="573" applyFont="1" applyFill="1" applyBorder="1" applyAlignment="1">
      <alignment horizontal="center" vertical="center" wrapText="1"/>
    </xf>
    <xf numFmtId="0" fontId="45" fillId="7" borderId="1" xfId="573" applyFont="1" applyFill="1" applyBorder="1" applyAlignment="1">
      <alignment horizontal="left" vertical="center"/>
    </xf>
    <xf numFmtId="0" fontId="45" fillId="7" borderId="1" xfId="573" applyFont="1" applyFill="1" applyBorder="1" applyAlignment="1">
      <alignment horizontal="left" vertical="center" wrapText="1"/>
    </xf>
    <xf numFmtId="0" fontId="45" fillId="7" borderId="1" xfId="573" applyFont="1" applyFill="1" applyBorder="1" applyAlignment="1">
      <alignment horizontal="center" vertical="center"/>
    </xf>
    <xf numFmtId="0" fontId="18" fillId="7" borderId="1" xfId="573" applyFont="1" applyFill="1" applyBorder="1" applyAlignment="1">
      <alignment horizontal="left" vertical="center"/>
    </xf>
    <xf numFmtId="0" fontId="45" fillId="3" borderId="1" xfId="573" applyFont="1" applyFill="1" applyBorder="1" applyAlignment="1">
      <alignment horizontal="left" vertical="center"/>
    </xf>
    <xf numFmtId="0" fontId="45" fillId="3" borderId="1" xfId="573" applyFont="1" applyFill="1" applyBorder="1" applyAlignment="1">
      <alignment horizontal="left" vertical="center" wrapText="1"/>
    </xf>
    <xf numFmtId="0" fontId="45" fillId="3" borderId="1" xfId="573" applyFont="1" applyFill="1" applyBorder="1" applyAlignment="1">
      <alignment horizontal="center" vertical="center"/>
    </xf>
    <xf numFmtId="0" fontId="35" fillId="3" borderId="1" xfId="573" applyFont="1" applyFill="1" applyBorder="1" applyAlignment="1">
      <alignment horizontal="center" vertical="center"/>
    </xf>
    <xf numFmtId="0" fontId="18" fillId="3" borderId="1" xfId="573" applyFont="1" applyFill="1" applyBorder="1" applyAlignment="1">
      <alignment horizontal="left" vertical="center"/>
    </xf>
    <xf numFmtId="0" fontId="35" fillId="7" borderId="1" xfId="573" applyFont="1" applyFill="1" applyBorder="1" applyAlignment="1">
      <alignment horizontal="left" vertical="center"/>
    </xf>
    <xf numFmtId="0" fontId="35" fillId="7" borderId="1" xfId="573" applyFont="1" applyFill="1" applyBorder="1" applyAlignment="1">
      <alignment horizontal="left" vertical="center" wrapText="1"/>
    </xf>
    <xf numFmtId="0" fontId="35" fillId="7" borderId="1" xfId="573" applyFont="1" applyFill="1" applyBorder="1" applyAlignment="1">
      <alignment horizontal="center" vertical="center"/>
    </xf>
    <xf numFmtId="49" fontId="40" fillId="7" borderId="2" xfId="0" applyNumberFormat="1" applyFont="1" applyFill="1" applyBorder="1" applyAlignment="1">
      <alignment horizontal="center" vertical="center" wrapText="1"/>
    </xf>
    <xf numFmtId="0" fontId="28" fillId="7" borderId="1" xfId="573" applyFont="1" applyFill="1" applyBorder="1" applyAlignment="1">
      <alignment horizontal="left" vertical="center"/>
    </xf>
    <xf numFmtId="0" fontId="40" fillId="7" borderId="1" xfId="573" applyFont="1" applyFill="1" applyBorder="1" applyAlignment="1">
      <alignment horizontal="left" vertical="center" wrapText="1"/>
    </xf>
    <xf numFmtId="0" fontId="28" fillId="7" borderId="1" xfId="573" applyFont="1" applyFill="1" applyBorder="1" applyAlignment="1">
      <alignment horizontal="center" vertical="center"/>
    </xf>
    <xf numFmtId="233" fontId="28" fillId="7" borderId="2" xfId="0" applyNumberFormat="1" applyFont="1" applyFill="1" applyBorder="1" applyAlignment="1">
      <alignment horizontal="left" vertical="center" wrapText="1" shrinkToFit="1"/>
    </xf>
    <xf numFmtId="233" fontId="40" fillId="7" borderId="2" xfId="0" applyNumberFormat="1" applyFont="1" applyFill="1" applyBorder="1" applyAlignment="1">
      <alignment horizontal="left" vertical="center" wrapText="1" shrinkToFit="1"/>
    </xf>
    <xf numFmtId="0" fontId="45" fillId="4" borderId="1" xfId="573" applyFont="1" applyFill="1" applyBorder="1" applyAlignment="1">
      <alignment horizontal="left" vertical="center"/>
    </xf>
    <xf numFmtId="0" fontId="45" fillId="4" borderId="1" xfId="573" applyFont="1" applyFill="1" applyBorder="1" applyAlignment="1">
      <alignment horizontal="left" vertical="center" wrapText="1"/>
    </xf>
    <xf numFmtId="0" fontId="18" fillId="3" borderId="1" xfId="573" applyFont="1" applyFill="1" applyBorder="1" applyAlignment="1">
      <alignment horizontal="left" vertical="center" wrapText="1"/>
    </xf>
    <xf numFmtId="0" fontId="35" fillId="3" borderId="1" xfId="573" applyFont="1" applyFill="1" applyBorder="1" applyAlignment="1">
      <alignment horizontal="left" vertical="center"/>
    </xf>
    <xf numFmtId="233" fontId="40" fillId="0" borderId="2" xfId="0" applyNumberFormat="1" applyFont="1" applyBorder="1" applyAlignment="1">
      <alignment horizontal="center" vertical="center"/>
    </xf>
    <xf numFmtId="233" fontId="40" fillId="0" borderId="2" xfId="0" applyNumberFormat="1" applyFont="1" applyBorder="1" applyAlignment="1">
      <alignment horizontal="center" vertical="center" shrinkToFit="1"/>
    </xf>
    <xf numFmtId="233" fontId="28" fillId="0" borderId="2" xfId="0" applyNumberFormat="1" applyFont="1" applyBorder="1" applyAlignment="1">
      <alignment horizontal="center" vertical="center"/>
    </xf>
    <xf numFmtId="0" fontId="35" fillId="8" borderId="1" xfId="573" applyFont="1" applyFill="1" applyBorder="1" applyAlignment="1">
      <alignment horizontal="left" vertical="center"/>
    </xf>
    <xf numFmtId="0" fontId="28" fillId="8" borderId="1" xfId="573" applyFont="1" applyFill="1" applyBorder="1" applyAlignment="1">
      <alignment horizontal="left" vertical="center" wrapText="1"/>
    </xf>
    <xf numFmtId="0" fontId="28" fillId="8" borderId="1" xfId="573" applyFont="1" applyFill="1" applyBorder="1" applyAlignment="1">
      <alignment horizontal="center" vertical="center" wrapText="1"/>
    </xf>
    <xf numFmtId="233" fontId="40" fillId="8" borderId="2" xfId="0" applyNumberFormat="1" applyFont="1" applyFill="1" applyBorder="1" applyAlignment="1">
      <alignment horizontal="center" vertical="center" shrinkToFit="1"/>
    </xf>
    <xf numFmtId="233" fontId="28" fillId="8" borderId="1" xfId="573" applyNumberFormat="1" applyFont="1" applyFill="1" applyBorder="1" applyAlignment="1">
      <alignment horizontal="center" vertical="center" wrapText="1"/>
    </xf>
    <xf numFmtId="0" fontId="35" fillId="8" borderId="1" xfId="573" applyFont="1" applyFill="1" applyBorder="1" applyAlignment="1">
      <alignment horizontal="left" vertical="center" wrapText="1"/>
    </xf>
    <xf numFmtId="0" fontId="35" fillId="8" borderId="1" xfId="573" applyFont="1" applyFill="1" applyBorder="1" applyAlignment="1">
      <alignment horizontal="center" vertical="center"/>
    </xf>
    <xf numFmtId="233" fontId="42" fillId="5" borderId="1" xfId="573" applyNumberFormat="1" applyFont="1" applyFill="1" applyBorder="1" applyAlignment="1">
      <alignment horizontal="center" vertical="center" wrapText="1"/>
    </xf>
    <xf numFmtId="0" fontId="46" fillId="3" borderId="1" xfId="573" applyFont="1" applyFill="1" applyBorder="1" applyAlignment="1">
      <alignment horizontal="center" vertical="center"/>
    </xf>
    <xf numFmtId="233" fontId="47" fillId="3" borderId="1" xfId="573" applyNumberFormat="1" applyFont="1" applyFill="1" applyBorder="1" applyAlignment="1">
      <alignment horizontal="center" vertical="center"/>
    </xf>
    <xf numFmtId="0" fontId="48" fillId="0" borderId="0" xfId="494" applyFont="1">
      <alignment vertical="center"/>
    </xf>
    <xf numFmtId="0" fontId="49" fillId="0" borderId="0" xfId="494" applyFont="1">
      <alignment vertical="center"/>
    </xf>
    <xf numFmtId="0" fontId="50" fillId="0" borderId="0" xfId="494" applyFont="1">
      <alignment vertical="center"/>
    </xf>
    <xf numFmtId="0" fontId="51" fillId="0" borderId="0" xfId="0" applyFont="1" applyFill="1" applyBorder="1" applyAlignment="1">
      <alignment horizontal="left" vertical="top"/>
    </xf>
    <xf numFmtId="0" fontId="31" fillId="0" borderId="1" xfId="270" applyFont="1" applyBorder="1" applyAlignment="1">
      <alignment horizontal="center" vertical="center" wrapText="1"/>
    </xf>
    <xf numFmtId="0" fontId="52" fillId="0" borderId="1" xfId="270" applyFont="1" applyBorder="1" applyAlignment="1">
      <alignment horizontal="center" vertical="center" wrapText="1"/>
    </xf>
    <xf numFmtId="0" fontId="53" fillId="0" borderId="0" xfId="494" applyFont="1">
      <alignment vertical="center"/>
    </xf>
    <xf numFmtId="0" fontId="54" fillId="0" borderId="1" xfId="559" applyFont="1" applyBorder="1" applyAlignment="1">
      <alignment horizontal="center" vertical="center"/>
    </xf>
    <xf numFmtId="235" fontId="54" fillId="0" borderId="1" xfId="319" applyNumberFormat="1" applyFont="1" applyFill="1" applyBorder="1" applyAlignment="1">
      <alignment horizontal="center" vertical="center" wrapText="1"/>
    </xf>
    <xf numFmtId="182" fontId="54" fillId="0" borderId="1" xfId="319" applyFont="1" applyFill="1" applyBorder="1" applyAlignment="1">
      <alignment horizontal="center" vertical="center"/>
    </xf>
    <xf numFmtId="0" fontId="55" fillId="0" borderId="1" xfId="559" applyFont="1" applyBorder="1" applyAlignment="1">
      <alignment horizontal="center" vertical="center"/>
    </xf>
    <xf numFmtId="0" fontId="56" fillId="0" borderId="1" xfId="559" applyFont="1" applyBorder="1" applyAlignment="1">
      <alignment horizontal="center" vertical="center"/>
    </xf>
    <xf numFmtId="236" fontId="55" fillId="0" borderId="1" xfId="319" applyNumberFormat="1" applyFont="1" applyFill="1" applyBorder="1" applyAlignment="1">
      <alignment horizontal="center" vertical="center" shrinkToFit="1"/>
    </xf>
    <xf numFmtId="182" fontId="55" fillId="0" borderId="1" xfId="319" applyFont="1" applyFill="1" applyBorder="1" applyAlignment="1">
      <alignment horizontal="center" vertical="center"/>
    </xf>
    <xf numFmtId="235" fontId="57" fillId="0" borderId="0" xfId="558" applyNumberFormat="1" applyFont="1" applyAlignment="1">
      <alignment horizontal="center" vertical="center"/>
    </xf>
    <xf numFmtId="235" fontId="57" fillId="0" borderId="0" xfId="558" applyNumberFormat="1" applyFont="1" applyAlignment="1">
      <alignment horizontal="center" vertical="center" wrapText="1"/>
    </xf>
    <xf numFmtId="0" fontId="57" fillId="0" borderId="0" xfId="558" applyFont="1" applyAlignment="1">
      <alignment horizontal="center" vertical="center"/>
    </xf>
    <xf numFmtId="10" fontId="55" fillId="0" borderId="1" xfId="559" applyNumberFormat="1" applyFont="1" applyBorder="1" applyAlignment="1">
      <alignment horizontal="center" vertical="center"/>
    </xf>
    <xf numFmtId="0" fontId="58" fillId="0" borderId="7" xfId="559" applyFont="1" applyBorder="1" applyAlignment="1">
      <alignment horizontal="center" vertical="center"/>
    </xf>
    <xf numFmtId="0" fontId="58" fillId="0" borderId="13" xfId="559" applyFont="1" applyBorder="1" applyAlignment="1">
      <alignment horizontal="center" vertical="center"/>
    </xf>
    <xf numFmtId="236" fontId="58" fillId="0" borderId="1" xfId="319" applyNumberFormat="1" applyFont="1" applyFill="1" applyBorder="1" applyAlignment="1">
      <alignment horizontal="center" vertical="center" shrinkToFit="1"/>
    </xf>
    <xf numFmtId="182" fontId="58" fillId="0" borderId="1" xfId="319" applyFont="1" applyFill="1" applyBorder="1" applyAlignment="1">
      <alignment horizontal="center" vertical="center"/>
    </xf>
    <xf numFmtId="182" fontId="59" fillId="0" borderId="0" xfId="270" applyNumberFormat="1" applyFont="1">
      <alignment vertical="center"/>
    </xf>
    <xf numFmtId="235" fontId="59" fillId="0" borderId="0" xfId="558" applyNumberFormat="1" applyFont="1" applyAlignment="1">
      <alignment horizontal="center" vertical="center"/>
    </xf>
    <xf numFmtId="233" fontId="50" fillId="0" borderId="0" xfId="494" applyNumberFormat="1" applyFont="1">
      <alignment vertical="center"/>
    </xf>
    <xf numFmtId="0" fontId="60" fillId="0" borderId="0" xfId="0" applyFont="1" applyFill="1" applyBorder="1" applyAlignment="1">
      <alignment horizontal="left" vertical="center"/>
    </xf>
    <xf numFmtId="0" fontId="61" fillId="0" borderId="0" xfId="0" applyFont="1" applyFill="1" applyBorder="1" applyAlignment="1">
      <alignment horizontal="left" vertical="top"/>
    </xf>
    <xf numFmtId="0" fontId="42" fillId="0" borderId="0" xfId="273" applyFont="1" applyAlignment="1">
      <alignment vertical="top" wrapText="1"/>
    </xf>
    <xf numFmtId="0" fontId="62" fillId="0" borderId="0" xfId="273" applyFont="1" applyAlignment="1">
      <alignment vertical="top" wrapText="1"/>
    </xf>
    <xf numFmtId="0" fontId="57" fillId="0" borderId="0" xfId="273" applyFont="1" applyAlignment="1">
      <alignment vertical="top" wrapText="1"/>
    </xf>
    <xf numFmtId="0" fontId="57" fillId="0" borderId="0" xfId="273" applyFont="1" applyAlignment="1" applyProtection="1">
      <alignment vertical="top" wrapText="1"/>
      <protection locked="0"/>
    </xf>
    <xf numFmtId="0" fontId="57" fillId="0" borderId="0" xfId="201" applyFont="1" applyAlignment="1" applyProtection="1">
      <alignment vertical="top" wrapText="1"/>
      <protection locked="0"/>
    </xf>
    <xf numFmtId="0" fontId="28" fillId="0" borderId="0" xfId="201" applyFont="1" applyAlignment="1">
      <alignment vertical="top" wrapText="1"/>
    </xf>
    <xf numFmtId="0" fontId="6" fillId="0" borderId="0" xfId="273" applyFont="1" applyAlignment="1">
      <alignment vertical="top" wrapText="1"/>
    </xf>
    <xf numFmtId="0" fontId="57" fillId="0" borderId="0" xfId="201" applyFont="1" applyAlignment="1">
      <alignment vertical="top" wrapText="1"/>
    </xf>
    <xf numFmtId="0" fontId="6" fillId="0" borderId="0" xfId="201" applyFont="1" applyAlignment="1">
      <alignment vertical="top" wrapText="1"/>
    </xf>
    <xf numFmtId="0" fontId="57" fillId="0" borderId="0" xfId="273" applyFont="1" applyAlignment="1">
      <alignment vertical="center" wrapText="1"/>
    </xf>
    <xf numFmtId="0" fontId="57" fillId="0" borderId="0" xfId="273" applyFont="1" applyAlignment="1" applyProtection="1">
      <alignment vertical="center" wrapText="1"/>
      <protection locked="0"/>
    </xf>
    <xf numFmtId="0" fontId="57" fillId="0" borderId="0" xfId="201" applyFont="1" applyAlignment="1" applyProtection="1">
      <alignment vertical="center" wrapText="1"/>
      <protection locked="0"/>
    </xf>
    <xf numFmtId="0" fontId="57" fillId="0" borderId="0" xfId="273" applyFont="1" applyAlignment="1">
      <alignment horizontal="left" vertical="top" wrapText="1"/>
    </xf>
    <xf numFmtId="0" fontId="62" fillId="0" borderId="0" xfId="273" applyFont="1" applyAlignment="1">
      <alignment horizontal="left" vertical="top" wrapText="1"/>
    </xf>
    <xf numFmtId="0" fontId="57" fillId="0" borderId="0" xfId="83" applyFont="1" applyAlignment="1">
      <alignment vertical="top" wrapText="1"/>
    </xf>
    <xf numFmtId="0" fontId="57" fillId="0" borderId="0" xfId="273" applyFont="1" applyAlignment="1">
      <alignment vertical="top"/>
    </xf>
    <xf numFmtId="0" fontId="57" fillId="0" borderId="0" xfId="273" applyFont="1" applyAlignment="1" applyProtection="1">
      <alignment vertical="top"/>
      <protection locked="0"/>
    </xf>
    <xf numFmtId="0" fontId="57" fillId="0" borderId="0" xfId="97" applyFont="1" applyAlignment="1">
      <alignment vertical="top" wrapText="1"/>
    </xf>
    <xf numFmtId="0" fontId="57" fillId="0" borderId="0" xfId="494" applyFont="1" applyAlignment="1" applyProtection="1">
      <alignment vertical="top" wrapText="1"/>
      <protection locked="0"/>
    </xf>
    <xf numFmtId="0" fontId="24" fillId="2" borderId="0" xfId="573" applyFont="1" applyFill="1" applyAlignment="1">
      <alignment horizontal="left" wrapText="1"/>
    </xf>
  </cellXfs>
  <cellStyles count="6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文字?色 6" xfId="49"/>
    <cellStyle name="60% - 강조색6" xfId="50"/>
    <cellStyle name="???元格" xfId="51"/>
    <cellStyle name="Heading" xfId="52"/>
    <cellStyle name="60% - 着色 2" xfId="53"/>
    <cellStyle name="强调 3 4" xfId="54"/>
    <cellStyle name="_45号电梯 12 2" xfId="55"/>
    <cellStyle name="args.style" xfId="56"/>
    <cellStyle name="Hyperlink" xfId="57"/>
    <cellStyle name="Accent2 - 40%" xfId="58"/>
    <cellStyle name="20% - 輔色4" xfId="59"/>
    <cellStyle name="Calc Percent (1)" xfId="60"/>
    <cellStyle name="40% - 輔色2" xfId="61"/>
    <cellStyle name="日期" xfId="62"/>
    <cellStyle name="" xfId="63"/>
    <cellStyle name="Accent2 - 60%" xfId="64"/>
    <cellStyle name="Unprotect" xfId="65"/>
    <cellStyle name="@ET_Style?CF_Style_0" xfId="66"/>
    <cellStyle name="Œ…‹æØ‚è_Region Orders (2)" xfId="67"/>
    <cellStyle name="差_问卷一 附件四--南京公共修订清单110313 2" xfId="68"/>
    <cellStyle name="Entered" xfId="69"/>
    <cellStyle name="_(38#)2000 3" xfId="70"/>
    <cellStyle name="Comma 2" xfId="71"/>
    <cellStyle name="常规 30" xfId="72"/>
    <cellStyle name="?? 1" xfId="73"/>
    <cellStyle name="_一标段.华府天地地下室-电气工程 2" xfId="74"/>
    <cellStyle name="Calc Units (0)" xfId="75"/>
    <cellStyle name="??|?Revenuenuesy L" xfId="76"/>
    <cellStyle name="60% - 輔色5" xfId="77"/>
    <cellStyle name="Currency0" xfId="78"/>
    <cellStyle name="注释 2 10 2" xfId="79"/>
    <cellStyle name="Accent1 - 60% 2 2" xfId="80"/>
    <cellStyle name="??&amp;O?&amp;H?_x0008__x000f__x0007_?_x0007__x0001__x0001_" xfId="81"/>
    <cellStyle name="OK啦" xfId="82"/>
    <cellStyle name="常规 8" xfId="83"/>
    <cellStyle name="_(38#)2000 2" xfId="84"/>
    <cellStyle name="差 8" xfId="85"/>
    <cellStyle name="货币[0] 2" xfId="86"/>
    <cellStyle name="_恒大城74#样板房装修清单7.17 2" xfId="87"/>
    <cellStyle name="Input" xfId="88"/>
    <cellStyle name="?? 2" xfId="89"/>
    <cellStyle name="注?" xfId="90"/>
    <cellStyle name="表标题 2 2" xfId="91"/>
    <cellStyle name="HEADINGS" xfId="92"/>
    <cellStyle name="百分比 12" xfId="93"/>
    <cellStyle name="?? 3" xfId="94"/>
    <cellStyle name="輸入" xfId="95"/>
    <cellStyle name="Heading 3" xfId="96"/>
    <cellStyle name="常规 8 2" xfId="97"/>
    <cellStyle name=" 2 2 10" xfId="98"/>
    <cellStyle name="_?南?福?服???（Sep.21)" xfId="99"/>
    <cellStyle name="뷭?_BOOKSHIP" xfId="100"/>
    <cellStyle name="警告文字" xfId="101"/>
    <cellStyle name="20% - 輔色2" xfId="102"/>
    <cellStyle name="20% - 輔色3" xfId="103"/>
    <cellStyle name="Accent2 - 40% 2" xfId="104"/>
    <cellStyle name="標題" xfId="105"/>
    <cellStyle name="PSChar" xfId="106"/>
    <cellStyle name="20% - 輔色5" xfId="107"/>
    <cellStyle name="Accent2 - 40% 4" xfId="108"/>
    <cellStyle name="合計" xfId="109"/>
    <cellStyle name="20% - 輔色6" xfId="110"/>
    <cellStyle name="Accent6 11" xfId="111"/>
    <cellStyle name="HEADINGSTOP" xfId="112"/>
    <cellStyle name="?? [0]_~ME0858" xfId="113"/>
    <cellStyle name="???_~ME0858" xfId="114"/>
    <cellStyle name="Output" xfId="115"/>
    <cellStyle name="출력" xfId="116"/>
    <cellStyle name="20% - 着色 3" xfId="117"/>
    <cellStyle name="差_立项意见书" xfId="118"/>
    <cellStyle name="제목" xfId="119"/>
    <cellStyle name="?出" xfId="120"/>
    <cellStyle name="_x0007_ 2 2" xfId="121"/>
    <cellStyle name="寘嬫愗傝 [0.00]_PRODUCT DETAIL Q1" xfId="122"/>
    <cellStyle name="强?文字?色 2" xfId="123"/>
    <cellStyle name="??" xfId="124"/>
    <cellStyle name="입력" xfId="125"/>
    <cellStyle name="?? 4" xfId="126"/>
    <cellStyle name="???[0]_~ME0858" xfId="127"/>
    <cellStyle name="超链接 2" xfId="128"/>
    <cellStyle name="??_~ME0858" xfId="129"/>
    <cellStyle name="Accent2 - 60% 2" xfId="130"/>
    <cellStyle name="Subtotal" xfId="131"/>
    <cellStyle name="?W?_Pacific Region P&amp;L" xfId="132"/>
    <cellStyle name="表示済みのハイパーリンク_we0731" xfId="133"/>
    <cellStyle name="差_多方案比较 2" xfId="134"/>
    <cellStyle name="輸出" xfId="135"/>
    <cellStyle name="桁区切り [0.00]_AMF Titanium Commodity Graphs" xfId="136"/>
    <cellStyle name="?接?元格" xfId="137"/>
    <cellStyle name="?入" xfId="138"/>
    <cellStyle name="?算" xfId="139"/>
    <cellStyle name="Linked Cells" xfId="140"/>
    <cellStyle name="_Book1_3" xfId="141"/>
    <cellStyle name="超级链接 2" xfId="142"/>
    <cellStyle name="着色 3" xfId="143"/>
    <cellStyle name="_07.11.22四季花城城南21#~23#组团精装修" xfId="144"/>
    <cellStyle name="Heading 1" xfId="145"/>
    <cellStyle name="_2、汇总表" xfId="146"/>
    <cellStyle name="_20090415万科工程F栋电梯桥箱预算表" xfId="147"/>
    <cellStyle name="OLELink" xfId="148"/>
    <cellStyle name="好_广州万科金域华府首层大堂三层售楼部泛会所及开放区电梯厅精装修工程招标清单" xfId="149"/>
    <cellStyle name="Accent3 - 60% 2 3" xfId="150"/>
    <cellStyle name="常规 25 3" xfId="151"/>
    <cellStyle name="_20100326高清市院遂宁检察院1080P配置清单26日改" xfId="152"/>
    <cellStyle name="40% - 강조색2" xfId="153"/>
    <cellStyle name="_20100326高清市院遂宁检察院1080P配置清单26日改 2" xfId="154"/>
    <cellStyle name="_45号电梯" xfId="155"/>
    <cellStyle name="_Book1 2" xfId="156"/>
    <cellStyle name="_Book1_1 2" xfId="157"/>
    <cellStyle name="40% - Accent1" xfId="158"/>
    <cellStyle name="_ET_STYLE_NoName_00__Book1_1 2" xfId="159"/>
    <cellStyle name="_For Dell_TPV 2nd_IRM Status_080328" xfId="160"/>
    <cellStyle name="_LINP" xfId="161"/>
    <cellStyle name="_东莞蓝球中心" xfId="162"/>
    <cellStyle name="SPECIAL" xfId="163"/>
    <cellStyle name="20% - 强?文字?色 5" xfId="164"/>
    <cellStyle name="材料単量" xfId="165"/>
    <cellStyle name="_立项意见书 3" xfId="166"/>
    <cellStyle name="_一标段.华府天地地下室-电气工程" xfId="167"/>
    <cellStyle name="강조색3" xfId="168"/>
    <cellStyle name="`" xfId="169"/>
    <cellStyle name="S10" xfId="170"/>
    <cellStyle name="Fixed" xfId="171"/>
    <cellStyle name="千位分隔 10" xfId="172"/>
    <cellStyle name="差_金域蓝湾二期B4-5、B6-8、F栋精装修招标标准表格（样板1）" xfId="173"/>
    <cellStyle name="好_Book1_2 2" xfId="174"/>
    <cellStyle name="{" xfId="175"/>
    <cellStyle name="千位分隔 14 2" xfId="176"/>
    <cellStyle name="Header2 2" xfId="177"/>
    <cellStyle name="열어 본 하이퍼링크" xfId="178"/>
    <cellStyle name="¤@??_pldt" xfId="179"/>
    <cellStyle name="" xfId="180"/>
    <cellStyle name="0,0_x000d__x000a_NA_x000d__x000a_ 7" xfId="181"/>
    <cellStyle name="Assumption" xfId="182"/>
    <cellStyle name="Std_%" xfId="183"/>
    <cellStyle name="20% - Accent1" xfId="184"/>
    <cellStyle name="Accent1 - 20%" xfId="185"/>
    <cellStyle name="20% - Accent2" xfId="186"/>
    <cellStyle name="20% - Accent3" xfId="187"/>
    <cellStyle name="20% - Accent4" xfId="188"/>
    <cellStyle name="Accent6 - 60% 2" xfId="189"/>
    <cellStyle name="20% - Accent5" xfId="190"/>
    <cellStyle name="20% - Accent6" xfId="191"/>
    <cellStyle name="Accent6 - 60% 4" xfId="192"/>
    <cellStyle name="20% - 강조색1" xfId="193"/>
    <cellStyle name="20% - 강조색2" xfId="194"/>
    <cellStyle name="20% - 강조색3" xfId="195"/>
    <cellStyle name="20% - 강조색4" xfId="196"/>
    <cellStyle name="20% - 강조색5" xfId="197"/>
    <cellStyle name="Accent1 - 20% 2 2" xfId="198"/>
    <cellStyle name="강조색1" xfId="199"/>
    <cellStyle name="Accent5 - 20%" xfId="200"/>
    <cellStyle name="常规 8 22" xfId="201"/>
    <cellStyle name="20% - 강조색6" xfId="202"/>
    <cellStyle name="Accent1 - 20% 2 3" xfId="203"/>
    <cellStyle name="강조색2" xfId="204"/>
    <cellStyle name="20% - 輔色1" xfId="205"/>
    <cellStyle name="20% - 强?文字?色 1" xfId="206"/>
    <cellStyle name="20% - 强?文字?色 2" xfId="207"/>
    <cellStyle name="Check Cell" xfId="208"/>
    <cellStyle name="PSDec" xfId="209"/>
    <cellStyle name="20% - 强?文字?色 3" xfId="210"/>
    <cellStyle name="20% - 强?文字?色 4" xfId="211"/>
    <cellStyle name="20% - 强?文字?色 6" xfId="212"/>
    <cellStyle name="S10 2" xfId="213"/>
    <cellStyle name="20% - 着色 4" xfId="214"/>
    <cellStyle name="³f¹?[0]_pldt" xfId="215"/>
    <cellStyle name="40% - Accent2" xfId="216"/>
    <cellStyle name="40% - Accent3" xfId="217"/>
    <cellStyle name="40% - Accent6" xfId="218"/>
    <cellStyle name="40% - 강조색1" xfId="219"/>
    <cellStyle name="40% - 강조색3" xfId="220"/>
    <cellStyle name="40% - 강조색6" xfId="221"/>
    <cellStyle name="40% - 輔色1" xfId="222"/>
    <cellStyle name="40% - 輔色3" xfId="223"/>
    <cellStyle name="40% - 輔色6" xfId="224"/>
    <cellStyle name="40% - 强?文字?色 1" xfId="225"/>
    <cellStyle name="60% - 강조색1" xfId="226"/>
    <cellStyle name="40% - 强?文字?色 2" xfId="227"/>
    <cellStyle name="60% - 강조색2" xfId="228"/>
    <cellStyle name="Hidden" xfId="229"/>
    <cellStyle name="40% - 强?文字?色 3" xfId="230"/>
    <cellStyle name="60% - 강조색3" xfId="231"/>
    <cellStyle name="40% - 着色 3" xfId="232"/>
    <cellStyle name="40% - 着色 4" xfId="233"/>
    <cellStyle name="强调 2" xfId="234"/>
    <cellStyle name="60% - Accent1" xfId="235"/>
    <cellStyle name="超链接 2 14 2 2" xfId="236"/>
    <cellStyle name="S0" xfId="237"/>
    <cellStyle name="S1" xfId="238"/>
    <cellStyle name="部门" xfId="239"/>
    <cellStyle name="强调 3" xfId="240"/>
    <cellStyle name="60% - Accent2" xfId="241"/>
    <cellStyle name="60% - Accent3" xfId="242"/>
    <cellStyle name="常规 10 2 4 2" xfId="243"/>
    <cellStyle name="S8 2" xfId="244"/>
    <cellStyle name="PSInt" xfId="245"/>
    <cellStyle name="PSSpacer 2 3" xfId="246"/>
    <cellStyle name="S3" xfId="247"/>
    <cellStyle name="標題 1" xfId="248"/>
    <cellStyle name="60% - Accent4" xfId="249"/>
    <cellStyle name="per.style" xfId="250"/>
    <cellStyle name="標題 2" xfId="251"/>
    <cellStyle name="好_MEMO1_1" xfId="252"/>
    <cellStyle name="60% - Accent5" xfId="253"/>
    <cellStyle name="PSChar 2" xfId="254"/>
    <cellStyle name="標題 3" xfId="255"/>
    <cellStyle name="60% - Accent6" xfId="256"/>
    <cellStyle name="Accent2 2 2" xfId="257"/>
    <cellStyle name="60% - 강조색4" xfId="258"/>
    <cellStyle name="Percent [0%]" xfId="259"/>
    <cellStyle name="60% - 강조색5" xfId="260"/>
    <cellStyle name="表标题" xfId="261"/>
    <cellStyle name="60% - 輔色1" xfId="262"/>
    <cellStyle name="编号 2" xfId="263"/>
    <cellStyle name="Totals" xfId="264"/>
    <cellStyle name="KPMG Normal" xfId="265"/>
    <cellStyle name="똿뗦먛귟_PRODUCT DETAIL Q1" xfId="266"/>
    <cellStyle name="好_多方案比较 2" xfId="267"/>
    <cellStyle name="60% - 輔色2" xfId="268"/>
    <cellStyle name="Good" xfId="269"/>
    <cellStyle name="常规 10" xfId="270"/>
    <cellStyle name="60% - 輔色3" xfId="271"/>
    <cellStyle name="60% - 輔色4" xfId="272"/>
    <cellStyle name="常规 10 10" xfId="273"/>
    <cellStyle name="标题 2 3 4" xfId="274"/>
    <cellStyle name="60% - 輔色6" xfId="275"/>
    <cellStyle name="Currency1" xfId="276"/>
    <cellStyle name="Œ…‹æØ‚è [0.00]_Region Orders (2)" xfId="277"/>
    <cellStyle name="60% - 强?文字?色 1" xfId="278"/>
    <cellStyle name="Cur௲ency_laroux_3_12~3SO2" xfId="279"/>
    <cellStyle name="60% - 强?文字?色 2" xfId="280"/>
    <cellStyle name="60% - 强?文字?色 3" xfId="281"/>
    <cellStyle name="60% - 强?文字?色 4" xfId="282"/>
    <cellStyle name="商品名称 2 3" xfId="283"/>
    <cellStyle name="60% - 强?文字?色 5" xfId="284"/>
    <cellStyle name="S4 2" xfId="285"/>
    <cellStyle name="경고문" xfId="286"/>
    <cellStyle name="60% - 强?文字?色 6" xfId="287"/>
    <cellStyle name="60% - 着色 1" xfId="288"/>
    <cellStyle name="常规 2 2 3" xfId="289"/>
    <cellStyle name="60% - 着色 3" xfId="290"/>
    <cellStyle name="好_C4 Facade Blade and Fin Take Off For Information Only" xfId="291"/>
    <cellStyle name="60% - 着色 4" xfId="292"/>
    <cellStyle name="Accent5 2 3" xfId="293"/>
    <cellStyle name="Actual Date" xfId="294"/>
    <cellStyle name="60% - 着色 6" xfId="295"/>
    <cellStyle name="Accent3 - 40% 2 3" xfId="296"/>
    <cellStyle name="강조색6" xfId="297"/>
    <cellStyle name="6mal" xfId="298"/>
    <cellStyle name="链接单元格 3 4" xfId="299"/>
    <cellStyle name="6mal 2" xfId="300"/>
    <cellStyle name="comma zerodec" xfId="301"/>
    <cellStyle name="7_LINP" xfId="302"/>
    <cellStyle name="Accent2 10" xfId="303"/>
    <cellStyle name="Accent1" xfId="304"/>
    <cellStyle name="Accent1 - 20% 2" xfId="305"/>
    <cellStyle name="Accent1 - 20% 4" xfId="306"/>
    <cellStyle name="Accent1 - 60%" xfId="307"/>
    <cellStyle name="Accent1 - 60% 2" xfId="308"/>
    <cellStyle name="Accent1 - 60% 2 3" xfId="309"/>
    <cellStyle name="subhead" xfId="310"/>
    <cellStyle name="Accent1 - 60% 4" xfId="311"/>
    <cellStyle name="Accent1 10" xfId="312"/>
    <cellStyle name="Accent1 11" xfId="313"/>
    <cellStyle name="좋음" xfId="314"/>
    <cellStyle name="Accent1 2 2" xfId="315"/>
    <cellStyle name="Accent1 2 3" xfId="316"/>
    <cellStyle name="差_（1）主线清单模板09.6.8 2" xfId="317"/>
    <cellStyle name="常规 7 10_总说明" xfId="318"/>
    <cellStyle name="千位分隔 13 2" xfId="319"/>
    <cellStyle name="Header1 2" xfId="320"/>
    <cellStyle name="Accent2" xfId="321"/>
    <cellStyle name="Accent2 - 20%" xfId="322"/>
    <cellStyle name="Accent2 - 20% 2" xfId="323"/>
    <cellStyle name="Accent2 - 20% 2 2" xfId="324"/>
    <cellStyle name="Accent2 - 20% 2 3" xfId="325"/>
    <cellStyle name="超链接 2 12" xfId="326"/>
    <cellStyle name="Accent2 - 20% 4" xfId="327"/>
    <cellStyle name="Accent2 - 40% 2 2" xfId="328"/>
    <cellStyle name="Accent2 - 40% 2 3" xfId="329"/>
    <cellStyle name="Обычный_таблица расчёта стоимости фасада по Оружейному" xfId="330"/>
    <cellStyle name="Input Cells" xfId="331"/>
    <cellStyle name="Accent2 - 60% 2 2" xfId="332"/>
    <cellStyle name="Accent2 - 60% 2 3" xfId="333"/>
    <cellStyle name="Accent2 - 60% 4" xfId="334"/>
    <cellStyle name="Accent2 11" xfId="335"/>
    <cellStyle name="標題 4" xfId="336"/>
    <cellStyle name="Accent2 2 3" xfId="337"/>
    <cellStyle name="好_问卷一 附件四--南京公共修订清单110313" xfId="338"/>
    <cellStyle name="Accent3 - 40%" xfId="339"/>
    <cellStyle name="New Times Roman 2" xfId="340"/>
    <cellStyle name="Mon閠aire [0]_!!!GO" xfId="341"/>
    <cellStyle name="常规 104" xfId="342"/>
    <cellStyle name="好_问卷一 附件四--南京公共修订清单110313 2" xfId="343"/>
    <cellStyle name="Accent3 - 40% 2" xfId="344"/>
    <cellStyle name="普通_ 白土" xfId="345"/>
    <cellStyle name="Accent3 - 40% 2 2" xfId="346"/>
    <cellStyle name="超链接 2 10 2 2" xfId="347"/>
    <cellStyle name="Accent3 - 40% 4" xfId="348"/>
    <cellStyle name="PSHeading" xfId="349"/>
    <cellStyle name="통화_1202" xfId="350"/>
    <cellStyle name="Accent3 - 60%" xfId="351"/>
    <cellStyle name="Accent5 - 20% 4" xfId="352"/>
    <cellStyle name="Accent3 - 60% 2" xfId="353"/>
    <cellStyle name="Accent3 - 60% 2 2" xfId="354"/>
    <cellStyle name="编号" xfId="355"/>
    <cellStyle name="后继超级链接 2 3" xfId="356"/>
    <cellStyle name="超链接 2 12 2 2" xfId="357"/>
    <cellStyle name="Accent3 - 60% 4" xfId="358"/>
    <cellStyle name="Accent5 - 20% 2" xfId="359"/>
    <cellStyle name="Accent5 - 20% 2 2" xfId="360"/>
    <cellStyle name="norm?ln?_List1" xfId="361"/>
    <cellStyle name="Accent5 - 20% 2 3" xfId="362"/>
    <cellStyle name="Accent5 10" xfId="363"/>
    <cellStyle name="regstoresfromspecstores" xfId="364"/>
    <cellStyle name="借出原因 2 3" xfId="365"/>
    <cellStyle name="Accent5 11" xfId="366"/>
    <cellStyle name="Accent5 2 2" xfId="367"/>
    <cellStyle name="Accent6" xfId="368"/>
    <cellStyle name="Accent6 - 40%" xfId="369"/>
    <cellStyle name="메모" xfId="370"/>
    <cellStyle name="Accent6 - 40% 2" xfId="371"/>
    <cellStyle name="Accent6 - 40% 2 2" xfId="372"/>
    <cellStyle name="Accent6 - 40% 2 3" xfId="373"/>
    <cellStyle name="args.style 2" xfId="374"/>
    <cellStyle name="Title" xfId="375"/>
    <cellStyle name="Accent6 - 40% 4" xfId="376"/>
    <cellStyle name="Accent6 - 60%" xfId="377"/>
    <cellStyle name="Accent6 - 60% 2 2" xfId="378"/>
    <cellStyle name="Accent6 - 60% 2 3" xfId="379"/>
    <cellStyle name="常? 2" xfId="380"/>
    <cellStyle name="連結的儲存格" xfId="381"/>
    <cellStyle name="Standard" xfId="382"/>
    <cellStyle name="Accent6 10" xfId="383"/>
    <cellStyle name="Accent6 2 2" xfId="384"/>
    <cellStyle name="Accent6 2 3" xfId="385"/>
    <cellStyle name="AeE­ [0]_INQUIRY ¿μ¾÷AßAø " xfId="386"/>
    <cellStyle name="S2 2" xfId="387"/>
    <cellStyle name="Bad" xfId="388"/>
    <cellStyle name="Border" xfId="389"/>
    <cellStyle name="通貨_AMF Titanium Commodity Graphs" xfId="390"/>
    <cellStyle name="C?AØ_¿?¾÷CoE² " xfId="391"/>
    <cellStyle name="Mon?taire_!!!GO" xfId="392"/>
    <cellStyle name="Calc Currency (0)" xfId="393"/>
    <cellStyle name="Calc Currency (2)" xfId="394"/>
    <cellStyle name="Calc Percent (0)" xfId="395"/>
    <cellStyle name="Calc Percent (2)" xfId="396"/>
    <cellStyle name="Calc Units (1)" xfId="397"/>
    <cellStyle name="category" xfId="398"/>
    <cellStyle name="ColLevel_0" xfId="399"/>
    <cellStyle name="Grey" xfId="400"/>
    <cellStyle name="Column_Title" xfId="401"/>
    <cellStyle name="Comma  - Style1" xfId="402"/>
    <cellStyle name="Comma  - Style2" xfId="403"/>
    <cellStyle name="差_Book1_2 2 3" xfId="404"/>
    <cellStyle name="Comma [0] 2" xfId="405"/>
    <cellStyle name="S7" xfId="406"/>
    <cellStyle name="Comma [0]_ SG&amp;A Bridge " xfId="407"/>
    <cellStyle name="样式 1 2" xfId="408"/>
    <cellStyle name="Comma [00]" xfId="409"/>
    <cellStyle name="Sub totals" xfId="410"/>
    <cellStyle name="好_Book1_2" xfId="411"/>
    <cellStyle name="Comma 2 2" xfId="412"/>
    <cellStyle name="Comma 2_电子版-综合单价（基本方案）（08.06）" xfId="413"/>
    <cellStyle name="Date" xfId="414"/>
    <cellStyle name="货币 2" xfId="415"/>
    <cellStyle name="Comma_ SG&amp;A Bridge " xfId="416"/>
    <cellStyle name="Comma0" xfId="417"/>
    <cellStyle name="Copied" xfId="418"/>
    <cellStyle name="COST1" xfId="419"/>
    <cellStyle name="超链接 2 2 6 2 2" xfId="420"/>
    <cellStyle name="Currency [0] 2" xfId="421"/>
    <cellStyle name="Currency [0]_ SG&amp;A Bridge " xfId="422"/>
    <cellStyle name="Currency [00]" xfId="423"/>
    <cellStyle name="Moneda [0]_96 Risk" xfId="424"/>
    <cellStyle name="輔色1" xfId="425"/>
    <cellStyle name="Currency 2" xfId="426"/>
    <cellStyle name="S11" xfId="427"/>
    <cellStyle name="Cyndie" xfId="428"/>
    <cellStyle name="KPMG Heading 1" xfId="429"/>
    <cellStyle name="Data" xfId="430"/>
    <cellStyle name="Date Short" xfId="431"/>
    <cellStyle name="Date_2005_MEM_LRR_EMF_1" xfId="432"/>
    <cellStyle name="Defined_Assumption" xfId="433"/>
    <cellStyle name="Percent [0]" xfId="434"/>
    <cellStyle name="DELTA" xfId="435"/>
    <cellStyle name="Dollar (zero dec)" xfId="436"/>
    <cellStyle name="Euro" xfId="437"/>
    <cellStyle name="Explanatory Text" xfId="438"/>
    <cellStyle name="EY House" xfId="439"/>
    <cellStyle name="Grey 2" xfId="440"/>
    <cellStyle name="S0 2" xfId="441"/>
    <cellStyle name="强调 2 2" xfId="442"/>
    <cellStyle name="千分位_ 白土" xfId="443"/>
    <cellStyle name="HEADER" xfId="444"/>
    <cellStyle name="Header1" xfId="445"/>
    <cellStyle name="Header2" xfId="446"/>
    <cellStyle name="着色 4" xfId="447"/>
    <cellStyle name="Heading 2" xfId="448"/>
    <cellStyle name="Heading1" xfId="449"/>
    <cellStyle name="HIGHLIGHT" xfId="450"/>
    <cellStyle name="Input [yellow]" xfId="451"/>
    <cellStyle name="差_Book1_2 2" xfId="452"/>
    <cellStyle name="S12 2" xfId="453"/>
    <cellStyle name="标题 4 3 4" xfId="454"/>
    <cellStyle name="Input [yellow] 2" xfId="455"/>
    <cellStyle name="KPMG Heading 2" xfId="456"/>
    <cellStyle name="KPMG Heading 3" xfId="457"/>
    <cellStyle name="KPMG Heading 4" xfId="458"/>
    <cellStyle name="Legal 8½ x 14 in" xfId="459"/>
    <cellStyle name="差_立项意见书 3" xfId="460"/>
    <cellStyle name="Linked Cell" xfId="461"/>
    <cellStyle name="Millares [0]_96 Risk" xfId="462"/>
    <cellStyle name="Valuta_pldt" xfId="463"/>
    <cellStyle name="Millares_96 Risk" xfId="464"/>
    <cellStyle name="Milliers [0]_!!!GO" xfId="465"/>
    <cellStyle name="Model" xfId="466"/>
    <cellStyle name="常规 10 2 6" xfId="467"/>
    <cellStyle name="捠壿 [0.00]_PRODUCT DETAIL Q1" xfId="468"/>
    <cellStyle name="Mon?taire [0]_!!!GO" xfId="469"/>
    <cellStyle name="Moneda_96 Risk" xfId="470"/>
    <cellStyle name="常规 3" xfId="471"/>
    <cellStyle name="Mon閠aire_!!!GO" xfId="472"/>
    <cellStyle name="통화 [0]_1202" xfId="473"/>
    <cellStyle name="MS_Arabic" xfId="474"/>
    <cellStyle name="强调 1" xfId="475"/>
    <cellStyle name="똿뗦먛귟 [0.00]_PRODUCT DETAIL Q1" xfId="476"/>
    <cellStyle name="N" xfId="477"/>
    <cellStyle name="New Times Roman" xfId="478"/>
    <cellStyle name="百分比 10" xfId="479"/>
    <cellStyle name="no dec" xfId="480"/>
    <cellStyle name="PSHeading 2" xfId="481"/>
    <cellStyle name="标题1 2 3" xfId="482"/>
    <cellStyle name="norm?lne_H?rok1" xfId="483"/>
    <cellStyle name="Normal - Style1" xfId="484"/>
    <cellStyle name="Normal 3 2" xfId="485"/>
    <cellStyle name="Percent [0.00%]" xfId="486"/>
    <cellStyle name="Percent [00]" xfId="487"/>
    <cellStyle name="Percent [2]" xfId="488"/>
    <cellStyle name="分级显示列_1_Book1" xfId="489"/>
    <cellStyle name="Percent 2" xfId="490"/>
    <cellStyle name="部门 2 3" xfId="491"/>
    <cellStyle name="Percent_!!!GO" xfId="492"/>
    <cellStyle name="Pourcentage_pldt" xfId="493"/>
    <cellStyle name="常规 101 2" xfId="494"/>
    <cellStyle name="pricing" xfId="495"/>
    <cellStyle name="PSDate" xfId="496"/>
    <cellStyle name="PSSpacer" xfId="497"/>
    <cellStyle name="PSSpacer 2" xfId="498"/>
    <cellStyle name="RevList" xfId="499"/>
    <cellStyle name="RowLevel_0" xfId="500"/>
    <cellStyle name="S1 2" xfId="501"/>
    <cellStyle name="部门 2" xfId="502"/>
    <cellStyle name="S3 2" xfId="503"/>
    <cellStyle name="Section Number" xfId="504"/>
    <cellStyle name="Thousands" xfId="505"/>
    <cellStyle name="差_47-中标项目运输费、材料价明细清单(1-12)" xfId="506"/>
    <cellStyle name="SHADEDSTORES" xfId="507"/>
    <cellStyle name="Warning Text" xfId="508"/>
    <cellStyle name="specstores" xfId="509"/>
    <cellStyle name="sstot" xfId="510"/>
    <cellStyle name="好_（闵行一期住宅及酒店钢质防火门）" xfId="511"/>
    <cellStyle name="sstot 2" xfId="512"/>
    <cellStyle name="Standard format" xfId="513"/>
    <cellStyle name="百分比 10 2 3" xfId="514"/>
    <cellStyle name="Tusental (0)_pldt" xfId="515"/>
    <cellStyle name="Text Indent A" xfId="516"/>
    <cellStyle name="檢查儲存格" xfId="517"/>
    <cellStyle name="Text Indent B" xfId="518"/>
    <cellStyle name="Text Indent C" xfId="519"/>
    <cellStyle name="Text Wrap" xfId="520"/>
    <cellStyle name="Unprot" xfId="521"/>
    <cellStyle name="備註" xfId="522"/>
    <cellStyle name="常?_0701_BenQ_VLRR" xfId="523"/>
    <cellStyle name="Unprot$" xfId="524"/>
    <cellStyle name="Word_Formula" xfId="525"/>
    <cellStyle name="ハイパーリンク_we0731" xfId="526"/>
    <cellStyle name="百分比 2 10" xfId="527"/>
    <cellStyle name="百分比 2 11" xfId="528"/>
    <cellStyle name="标题1 2" xfId="529"/>
    <cellStyle name="编号 2 3" xfId="530"/>
    <cellStyle name="标题 1 3 4" xfId="531"/>
    <cellStyle name="标题 3 3 4" xfId="532"/>
    <cellStyle name="标题 6 4" xfId="533"/>
    <cellStyle name="标题1" xfId="534"/>
    <cellStyle name="標準__980402H Fujitsu US CDMA CGR17500_2P+SU" xfId="535"/>
    <cellStyle name="表标题 2" xfId="536"/>
    <cellStyle name="제목 2" xfId="537"/>
    <cellStyle name="数量" xfId="538"/>
    <cellStyle name="表标题 4" xfId="539"/>
    <cellStyle name="계산" xfId="540"/>
    <cellStyle name="差_（闵行一期住宅及酒店钢质防火门）" xfId="541"/>
    <cellStyle name="差_Book1_2" xfId="542"/>
    <cellStyle name="差_C4 Facade Blade and Fin Take Off For Information Only" xfId="543"/>
    <cellStyle name="差_MEMO1" xfId="544"/>
    <cellStyle name="差_MEMO1 2" xfId="545"/>
    <cellStyle name="差_儋州恒大金碧天下首期样板房精装修清单2010.11.15_甲供材料清单2011-02-22" xfId="546"/>
    <cellStyle name="差_广州万科金域华府首层大堂三层售楼部泛会所及开放区电梯厅精装修工程招标清单" xfId="547"/>
    <cellStyle name="超链接 2 14" xfId="548"/>
    <cellStyle name="差_问卷一 附件四--南京公共修订清单110313" xfId="549"/>
    <cellStyle name="常规 10 2" xfId="550"/>
    <cellStyle name="常规 10 8" xfId="551"/>
    <cellStyle name="常规 100 2" xfId="552"/>
    <cellStyle name="常规 2 2 3 10" xfId="553"/>
    <cellStyle name="常规 2 2_30厚 2保利成本(短槽)" xfId="554"/>
    <cellStyle name="超链接 2 10" xfId="555"/>
    <cellStyle name="常规 32 2" xfId="556"/>
    <cellStyle name="常规 5 2 2 3" xfId="557"/>
    <cellStyle name="常规_龙泉综合楼外墙清单" xfId="558"/>
    <cellStyle name="常规_龙泉综合楼外墙清单 2" xfId="559"/>
    <cellStyle name="超级链接" xfId="560"/>
    <cellStyle name="超级链接 2 3" xfId="561"/>
    <cellStyle name="超連結" xfId="562"/>
    <cellStyle name="輔色2" xfId="563"/>
    <cellStyle name="輔色3" xfId="564"/>
    <cellStyle name="輔色6" xfId="565"/>
    <cellStyle name="나쁨" xfId="566"/>
    <cellStyle name="好_（1）主线清单模板09.6.8 2" xfId="567"/>
    <cellStyle name="好_Book1_2 2 3" xfId="568"/>
    <cellStyle name="好_儋州恒大金碧天下首期样板房精装修清单2010.11.15_甲供材料清单2011-02-22" xfId="569"/>
    <cellStyle name="好_海尔4(陈庆师)" xfId="570"/>
    <cellStyle name="好_金域蓝湾二期B4-5、B6-8、F栋精装修招标标准表格（样板1）" xfId="571"/>
    <cellStyle name="好_立项意见书" xfId="572"/>
    <cellStyle name="Normal" xfId="573"/>
    <cellStyle name="好_立项意见书 3" xfId="574"/>
    <cellStyle name="桁区切り_0206内訳雛形" xfId="575"/>
    <cellStyle name="后继超级链接" xfId="576"/>
    <cellStyle name="后继超级链接 2" xfId="577"/>
    <cellStyle name="壞" xfId="578"/>
    <cellStyle name="汇总表1" xfId="579"/>
    <cellStyle name="货币 2 2" xfId="580"/>
    <cellStyle name="货币 6 3" xfId="581"/>
    <cellStyle name="货币[0] 2 2" xfId="582"/>
    <cellStyle name="强调 2 4" xfId="583"/>
    <cellStyle name="貨幣 [0]_08010" xfId="584"/>
    <cellStyle name="貨幣_08010" xfId="585"/>
    <cellStyle name="計算方式" xfId="586"/>
    <cellStyle name="解?性文本" xfId="587"/>
    <cellStyle name="解释性文本 3 4" xfId="588"/>
    <cellStyle name="借出原因" xfId="589"/>
    <cellStyle name="借出原因 2" xfId="590"/>
    <cellStyle name="警告文本 3 4" xfId="591"/>
    <cellStyle name="瘤沥登瘤 臼澜" xfId="592"/>
    <cellStyle name="霓付 [0]_1202" xfId="593"/>
    <cellStyle name="霓付_1202" xfId="594"/>
    <cellStyle name="烹拳 [0]_1202" xfId="595"/>
    <cellStyle name="烹拳_1202" xfId="596"/>
    <cellStyle name="千分位[0]_ 白土" xfId="597"/>
    <cellStyle name="千位[0]_ 方正PC" xfId="598"/>
    <cellStyle name="千位分隔 10 2" xfId="599"/>
    <cellStyle name="千位分隔 10 3" xfId="600"/>
    <cellStyle name="千位分隔 2 12" xfId="601"/>
    <cellStyle name="千位分隔 2_（含量）澳大利亚Barangroo C4 Tower" xfId="602"/>
    <cellStyle name="千位分隔 3 3_工程量清单汇总表（1号广场）" xfId="603"/>
    <cellStyle name="千位分隔 4_11" xfId="604"/>
    <cellStyle name="钎霖_(沥焊何巩)岿喊牢盔拌裙" xfId="605"/>
    <cellStyle name="强?文字?色 1" xfId="606"/>
    <cellStyle name="强?文字?色 3" xfId="607"/>
    <cellStyle name="표준_(정보부문)월별인원계획" xfId="608"/>
    <cellStyle name="强?文字?色 6" xfId="609"/>
    <cellStyle name="强调 1 2" xfId="610"/>
    <cellStyle name="强调 1 2 2" xfId="611"/>
    <cellStyle name="强调 1 4" xfId="612"/>
    <cellStyle name="强调 2 2 2" xfId="613"/>
    <cellStyle name="强调 3 2" xfId="614"/>
    <cellStyle name="强调 3 2 2" xfId="615"/>
    <cellStyle name="商品名称" xfId="616"/>
    <cellStyle name="商品名称 2" xfId="617"/>
    <cellStyle name="說明文字" xfId="618"/>
    <cellStyle name="隨後的超連結" xfId="619"/>
    <cellStyle name="通貨 [0.00]_AMF Titanium Commodity Graphs" xfId="620"/>
    <cellStyle name="样式 1 2 2 3" xfId="621"/>
    <cellStyle name="一般_(菲力倉)BenQ Sorting 10.03~10.12" xfId="622"/>
    <cellStyle name="믅됞 [0.00]_PRODUCT DETAIL Q1" xfId="623"/>
    <cellStyle name="백분율_HOBONG" xfId="624"/>
    <cellStyle name="昗?_BOOKSHIP" xfId="625"/>
    <cellStyle name="寘嬫愗傝_PRODUCT DETAIL Q1" xfId="626"/>
    <cellStyle name="中等" xfId="627"/>
    <cellStyle name="보통" xfId="628"/>
    <cellStyle name="注释 2" xfId="629"/>
    <cellStyle name="설명 텍스트" xfId="630"/>
    <cellStyle name="셀 확인" xfId="631"/>
    <cellStyle name="연결된 셀" xfId="632"/>
    <cellStyle name="요약" xfId="633"/>
    <cellStyle name="제목 1" xfId="634"/>
    <cellStyle name="제목 3" xfId="635"/>
    <cellStyle name="제목 4" xfId="636"/>
    <cellStyle name="콤마 [0]_  종  합  " xfId="6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2" Type="http://schemas.openxmlformats.org/officeDocument/2006/relationships/styles" Target="styles.xml"/><Relationship Id="rId61" Type="http://schemas.openxmlformats.org/officeDocument/2006/relationships/sharedStrings" Target="sharedStrings.xml"/><Relationship Id="rId60" Type="http://schemas.openxmlformats.org/officeDocument/2006/relationships/theme" Target="theme/theme1.xml"/><Relationship Id="rId6" Type="http://schemas.openxmlformats.org/officeDocument/2006/relationships/worksheet" Target="worksheets/sheet6.xml"/><Relationship Id="rId59" Type="http://schemas.openxmlformats.org/officeDocument/2006/relationships/externalLink" Target="externalLinks/externalLink44.xml"/><Relationship Id="rId58" Type="http://schemas.openxmlformats.org/officeDocument/2006/relationships/externalLink" Target="externalLinks/externalLink43.xml"/><Relationship Id="rId57" Type="http://schemas.openxmlformats.org/officeDocument/2006/relationships/externalLink" Target="externalLinks/externalLink42.xml"/><Relationship Id="rId56" Type="http://schemas.openxmlformats.org/officeDocument/2006/relationships/externalLink" Target="externalLinks/externalLink41.xml"/><Relationship Id="rId55" Type="http://schemas.openxmlformats.org/officeDocument/2006/relationships/externalLink" Target="externalLinks/externalLink40.xml"/><Relationship Id="rId54" Type="http://schemas.openxmlformats.org/officeDocument/2006/relationships/externalLink" Target="externalLinks/externalLink39.xml"/><Relationship Id="rId53" Type="http://schemas.openxmlformats.org/officeDocument/2006/relationships/externalLink" Target="externalLinks/externalLink38.xml"/><Relationship Id="rId52" Type="http://schemas.openxmlformats.org/officeDocument/2006/relationships/externalLink" Target="externalLinks/externalLink37.xml"/><Relationship Id="rId51" Type="http://schemas.openxmlformats.org/officeDocument/2006/relationships/externalLink" Target="externalLinks/externalLink36.xml"/><Relationship Id="rId50" Type="http://schemas.openxmlformats.org/officeDocument/2006/relationships/externalLink" Target="externalLinks/externalLink35.xml"/><Relationship Id="rId5" Type="http://schemas.openxmlformats.org/officeDocument/2006/relationships/worksheet" Target="worksheets/sheet5.xml"/><Relationship Id="rId49" Type="http://schemas.openxmlformats.org/officeDocument/2006/relationships/externalLink" Target="externalLinks/externalLink34.xml"/><Relationship Id="rId48" Type="http://schemas.openxmlformats.org/officeDocument/2006/relationships/externalLink" Target="externalLinks/externalLink33.xml"/><Relationship Id="rId47" Type="http://schemas.openxmlformats.org/officeDocument/2006/relationships/externalLink" Target="externalLinks/externalLink32.xml"/><Relationship Id="rId46" Type="http://schemas.openxmlformats.org/officeDocument/2006/relationships/externalLink" Target="externalLinks/externalLink31.xml"/><Relationship Id="rId45" Type="http://schemas.openxmlformats.org/officeDocument/2006/relationships/externalLink" Target="externalLinks/externalLink30.xml"/><Relationship Id="rId44" Type="http://schemas.openxmlformats.org/officeDocument/2006/relationships/externalLink" Target="externalLinks/externalLink29.xml"/><Relationship Id="rId43" Type="http://schemas.openxmlformats.org/officeDocument/2006/relationships/externalLink" Target="externalLinks/externalLink28.xml"/><Relationship Id="rId42" Type="http://schemas.openxmlformats.org/officeDocument/2006/relationships/externalLink" Target="externalLinks/externalLink27.xml"/><Relationship Id="rId41" Type="http://schemas.openxmlformats.org/officeDocument/2006/relationships/externalLink" Target="externalLinks/externalLink26.xml"/><Relationship Id="rId40" Type="http://schemas.openxmlformats.org/officeDocument/2006/relationships/externalLink" Target="externalLinks/externalLink25.xml"/><Relationship Id="rId4" Type="http://schemas.openxmlformats.org/officeDocument/2006/relationships/worksheet" Target="worksheets/sheet4.xml"/><Relationship Id="rId39" Type="http://schemas.openxmlformats.org/officeDocument/2006/relationships/externalLink" Target="externalLinks/externalLink24.xml"/><Relationship Id="rId38" Type="http://schemas.openxmlformats.org/officeDocument/2006/relationships/externalLink" Target="externalLinks/externalLink23.xml"/><Relationship Id="rId37" Type="http://schemas.openxmlformats.org/officeDocument/2006/relationships/externalLink" Target="externalLinks/externalLink22.xml"/><Relationship Id="rId36" Type="http://schemas.openxmlformats.org/officeDocument/2006/relationships/externalLink" Target="externalLinks/externalLink21.xml"/><Relationship Id="rId35" Type="http://schemas.openxmlformats.org/officeDocument/2006/relationships/externalLink" Target="externalLinks/externalLink20.xml"/><Relationship Id="rId34" Type="http://schemas.openxmlformats.org/officeDocument/2006/relationships/externalLink" Target="externalLinks/externalLink19.xml"/><Relationship Id="rId33" Type="http://schemas.openxmlformats.org/officeDocument/2006/relationships/externalLink" Target="externalLinks/externalLink18.xml"/><Relationship Id="rId32" Type="http://schemas.openxmlformats.org/officeDocument/2006/relationships/externalLink" Target="externalLinks/externalLink17.xml"/><Relationship Id="rId31" Type="http://schemas.openxmlformats.org/officeDocument/2006/relationships/externalLink" Target="externalLinks/externalLink16.xml"/><Relationship Id="rId30" Type="http://schemas.openxmlformats.org/officeDocument/2006/relationships/externalLink" Target="externalLinks/externalLink15.xml"/><Relationship Id="rId3" Type="http://schemas.openxmlformats.org/officeDocument/2006/relationships/worksheet" Target="worksheets/sheet3.xml"/><Relationship Id="rId29" Type="http://schemas.openxmlformats.org/officeDocument/2006/relationships/externalLink" Target="externalLinks/externalLink14.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3</xdr:row>
      <xdr:rowOff>352425</xdr:rowOff>
    </xdr:from>
    <xdr:to>
      <xdr:col>1</xdr:col>
      <xdr:colOff>4749165</xdr:colOff>
      <xdr:row>3</xdr:row>
      <xdr:rowOff>3410585</xdr:rowOff>
    </xdr:to>
    <xdr:pic>
      <xdr:nvPicPr>
        <xdr:cNvPr id="2" name="图片 1"/>
        <xdr:cNvPicPr>
          <a:picLocks noChangeAspect="1"/>
        </xdr:cNvPicPr>
      </xdr:nvPicPr>
      <xdr:blipFill>
        <a:blip r:embed="rId1"/>
        <a:stretch>
          <a:fillRect/>
        </a:stretch>
      </xdr:blipFill>
      <xdr:spPr>
        <a:xfrm>
          <a:off x="809625" y="5229225"/>
          <a:ext cx="4625340" cy="3058160"/>
        </a:xfrm>
        <a:prstGeom prst="rect">
          <a:avLst/>
        </a:prstGeom>
        <a:noFill/>
        <a:ln w="9525">
          <a:noFill/>
        </a:ln>
      </xdr:spPr>
    </xdr:pic>
    <xdr:clientData/>
  </xdr:twoCellAnchor>
  <xdr:twoCellAnchor editAs="oneCell">
    <xdr:from>
      <xdr:col>1</xdr:col>
      <xdr:colOff>180340</xdr:colOff>
      <xdr:row>2</xdr:row>
      <xdr:rowOff>80010</xdr:rowOff>
    </xdr:from>
    <xdr:to>
      <xdr:col>1</xdr:col>
      <xdr:colOff>4495165</xdr:colOff>
      <xdr:row>2</xdr:row>
      <xdr:rowOff>3992880</xdr:rowOff>
    </xdr:to>
    <xdr:pic>
      <xdr:nvPicPr>
        <xdr:cNvPr id="3" name="图片 2"/>
        <xdr:cNvPicPr>
          <a:picLocks noChangeAspect="1"/>
        </xdr:cNvPicPr>
      </xdr:nvPicPr>
      <xdr:blipFill>
        <a:blip r:embed="rId2"/>
        <a:stretch>
          <a:fillRect/>
        </a:stretch>
      </xdr:blipFill>
      <xdr:spPr>
        <a:xfrm>
          <a:off x="866140" y="918210"/>
          <a:ext cx="4314825" cy="391287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016;&#26230;&#24037;&#20316;&#25991;&#20214;&#22841;\2014&#24180;&#39033;&#30446;\9&#26376;\&#24658;&#22823;\&#25104;&#26412;\POWER%20ASSUMPTION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l\&#28145;&#22323;&#28286;&#39033;&#30446;\&#28145;&#22323;&#28286;&#39033;&#30446;&#65288;&#24149;&#22681;&#37096;&#20998;&#34917;&#36951;&#65289;0924\I%20&#26631;&#27573;&#36164;&#26009;&#25991;&#20214;\3.I%20&#26631;&#27573;&#24037;&#31243;&#37327;&#21450;&#21333;&#20215;&#34920;\&#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07&#24180;\&#37329;&#30887;&#33457;&#22253;\&#31532;&#19977;&#37329;&#30887;&#33457;&#22253;64-65&#21495;&#27004;&#39318;&#23618;&#32905;&#33756;&#24066;&#22330;&#35013;&#20462;&#24037;&#31243;\&#23567;&#38889;\&#32599;&#39532;&#23478;&#22253;D1~D3&#266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ttp:\g1a81.mail.126.com\a\s?func=mbox:2007.1&#26376;&#36890;&#35759;&#244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c2120\s2\SHG042\&#23425;&#27874;\TenderDoc(not%20used)\mc(r)\170105&#25104;&#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237;&#26631;&#25253;&#20215;123\&#23425;&#27874;&#39321;&#26684;&#37324;&#25289;&#22320;&#19979;\&#23425;&#27874;&#39321;&#26684;&#37324;&#25289;&#28165;&#21333;10.29xmwe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1016;&#26230;&#24037;&#20316;&#25991;&#20214;&#22841;\2014&#24180;&#39033;&#30446;\9&#26376;\&#24658;&#22823;\&#25104;&#26412;\POWER%20ASSUMPTION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07&#24180;\&#37329;&#30887;&#33457;&#22253;\&#31532;&#19977;&#37329;&#30887;&#33457;&#22253;64-65&#21495;&#27004;&#39318;&#23618;&#32905;&#33756;&#24066;&#22330;&#35013;&#20462;&#24037;&#31243;\&#23567;&#38889;\&#32599;&#39532;&#23478;&#22253;D1~D3&#2663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5237;&#26631;&#25253;&#20215;123\&#23425;&#27874;&#39321;&#26684;&#37324;&#25289;&#22320;&#19979;\&#23425;&#27874;&#39321;&#26684;&#37324;&#25289;&#28165;&#21333;10.29xmwe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3BS&#25143;&#22411;&#28165;&#21333;--&#341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Open"/>
      <sheetName val="室内汇总"/>
      <sheetName val="Mp-team 1"/>
      <sheetName val="单价分析表"/>
      <sheetName val="分部分项清单(模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室内汇总"/>
      <sheetName val="Financ. Overview"/>
      <sheetName val="单价分析表"/>
      <sheetName val="Main"/>
      <sheetName val="POWER ASSUMPTIONS"/>
      <sheetName val="材料单价表"/>
      <sheetName val="Open"/>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G.1R-Shou COP Gf"/>
      <sheetName val="2006年10月"/>
      <sheetName val="材料单价表"/>
      <sheetName val="单位库"/>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oolbox"/>
      <sheetName val="材料表"/>
      <sheetName val="室内汇总"/>
      <sheetName val="POWER ASSUMPTIONS"/>
      <sheetName val="G.1R-Shou COP Gf"/>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室内汇总"/>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 val="Toolbox"/>
      <sheetName val="Main"/>
      <sheetName val="eqpmad2"/>
      <sheetName val="UFPrn20020708110604"/>
      <sheetName val="现金流量表2"/>
      <sheetName val="现金流量表3"/>
      <sheetName val="00000000"/>
      <sheetName val="Sheet1"/>
      <sheetName val="Sheet2"/>
      <sheetName val="2002年3月份"/>
      <sheetName val="2004年4月份"/>
      <sheetName val="Sheet3"/>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Open"/>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SW_TEO"/>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附注"/>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6.12 (2)"/>
      <sheetName val="2006.12"/>
      <sheetName val="2006年10月"/>
      <sheetName val="Sheet1"/>
      <sheetName val="室内汇总"/>
      <sheetName val="材料单价表"/>
      <sheetName val="甲供材料清单"/>
      <sheetName val="大堂（新1000标）"/>
      <sheetName val="水晶灯"/>
      <sheetName val="Financ. Overview"/>
      <sheetName val="Toolbox"/>
      <sheetName val="220m2"/>
      <sheetName val="建筑面积 "/>
      <sheetName val="Mp-team 1"/>
      <sheetName val="基础项目"/>
      <sheetName val="成本报表（入库）"/>
      <sheetName val="Sheet3"/>
      <sheetName val="基础数据"/>
      <sheetName val="主要材料价格表 （对照）FINAL (2)"/>
      <sheetName val="首层大堂"/>
      <sheetName val="套内部分"/>
      <sheetName val="单位库"/>
      <sheetName val="#REF!"/>
      <sheetName val="General"/>
      <sheetName val="Wl. Fin."/>
      <sheetName val="柱计算"/>
      <sheetName val="给排水管道"/>
      <sheetName val="5期B栋会所装饰精装修"/>
      <sheetName val="费率"/>
      <sheetName val="结构"/>
      <sheetName val="其它"/>
      <sheetName val="措施"/>
      <sheetName val="Sheet9"/>
      <sheetName val="eqpmad2"/>
      <sheetName val="外墙"/>
      <sheetName val="8"/>
      <sheetName val="2"/>
      <sheetName val="6"/>
      <sheetName val="面积合计（藏）"/>
      <sheetName val="7"/>
      <sheetName val="3"/>
      <sheetName val="4"/>
      <sheetName val="投标材料清单 "/>
      <sheetName val="5"/>
      <sheetName val="1"/>
      <sheetName val="新标准（罗马帝国）"/>
      <sheetName val="新标准（巴洛克神话1）"/>
      <sheetName val="Main"/>
      <sheetName val="门窗表"/>
      <sheetName val="十八.门窗表,门框塞缝"/>
      <sheetName val="类别、计价包方式、招标方式"/>
      <sheetName val="電気設備表"/>
      <sheetName val="工程信息"/>
      <sheetName val="单价分析表"/>
      <sheetName val="分部分项清单(模板)"/>
      <sheetName val="POWER ASSUMPTIONS"/>
      <sheetName val="list"/>
      <sheetName val="name"/>
      <sheetName val="合同付款"/>
      <sheetName val="封面"/>
      <sheetName val="营销费用预算"/>
      <sheetName val="营销合约"/>
      <sheetName val="成本项目"/>
      <sheetName val="基础梁"/>
      <sheetName val="楼梯"/>
      <sheetName val="屋面瓦通用"/>
      <sheetName val="00000ppy"/>
      <sheetName val="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汇总"/>
      <sheetName val="基本1"/>
      <sheetName val="工程桩2"/>
      <sheetName val="围护3"/>
      <sheetName val="土方支撑4"/>
      <sheetName val="地下5"/>
      <sheetName val="5.1"/>
      <sheetName val="5.2"/>
      <sheetName val="5.3"/>
      <sheetName val="5.4"/>
      <sheetName val="5.5"/>
      <sheetName val="5.6"/>
      <sheetName val="裙楼6"/>
      <sheetName val="6.1"/>
      <sheetName val="6.2"/>
      <sheetName val="6.3"/>
      <sheetName val="6.4"/>
      <sheetName val="6.5"/>
      <sheetName val="6.6"/>
      <sheetName val="塔楼7"/>
      <sheetName val="7.1"/>
      <sheetName val="7.2"/>
      <sheetName val="7.3"/>
      <sheetName val="7.4"/>
      <sheetName val="7.5"/>
      <sheetName val="7.6"/>
      <sheetName val="室外8"/>
      <sheetName val="8.1"/>
      <sheetName val="8.2"/>
      <sheetName val="机电预埋9"/>
      <sheetName val="指定配合10"/>
      <sheetName val="单价分析表"/>
      <sheetName val="1"/>
      <sheetName val="外墙"/>
      <sheetName val="Sheet9"/>
      <sheetName val="室内汇总"/>
      <sheetName val="单位库"/>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eqpm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室内汇总"/>
      <sheetName val="Open"/>
      <sheetName val="SW-TEO"/>
      <sheetName val="2006年10月"/>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3BS 型套房"/>
      <sheetName val="00000ppy"/>
      <sheetName val="室内汇总"/>
      <sheetName val="单位库"/>
      <sheetName val="Toolbox"/>
      <sheetName val="材料单价表"/>
      <sheetName val="材料表"/>
      <sheetName val="Sheet9"/>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 val="G.1R-Shou COP Gf"/>
      <sheetName val="Open"/>
      <sheetName val="室内汇总"/>
      <sheetName val="SW-TEO"/>
      <sheetName val="Toolbox"/>
      <sheetName val="单价分析表"/>
      <sheetName val="分部分项清单(模板)"/>
      <sheetName val="基础项目"/>
      <sheetName val="工程量"/>
      <sheetName val="墙面工程"/>
      <sheetName val="设置"/>
      <sheetName val="主要材料价格表 （对照）FINAL (2)"/>
      <sheetName val="8"/>
      <sheetName val="材料"/>
      <sheetName val="Financ. Overview"/>
      <sheetName val="POWER ASSUMPTIONS"/>
      <sheetName val="付款进度表"/>
      <sheetName val="单位库"/>
      <sheetName val="柱计算"/>
      <sheetName val="eqpmad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topLeftCell="A5" workbookViewId="0">
      <selection activeCell="G19" sqref="G19"/>
    </sheetView>
  </sheetViews>
  <sheetFormatPr defaultColWidth="8" defaultRowHeight="11.25" outlineLevelCol="6"/>
  <cols>
    <col min="1" max="1" width="18.9666666666667" style="65" customWidth="1"/>
    <col min="2" max="2" width="5.925" style="65" customWidth="1"/>
    <col min="3" max="3" width="14.3666666666667" style="65" customWidth="1"/>
    <col min="4" max="4" width="6.66666666666667" style="65" customWidth="1"/>
    <col min="5" max="5" width="30.25" style="65" customWidth="1"/>
    <col min="6" max="6" width="1.33333333333333" style="65" customWidth="1"/>
    <col min="7" max="7" width="24.15" style="65" customWidth="1"/>
    <col min="8" max="16384" width="8" style="65"/>
  </cols>
  <sheetData>
    <row r="1" ht="30.75" customHeight="1" spans="1:7">
      <c r="A1" s="66" t="s">
        <v>0</v>
      </c>
      <c r="B1" s="66"/>
      <c r="C1" s="67"/>
      <c r="D1" s="67"/>
      <c r="E1" s="67"/>
      <c r="F1" s="68"/>
      <c r="G1" s="68"/>
    </row>
    <row r="2" ht="26.25" customHeight="1" spans="1:7">
      <c r="A2" s="66"/>
      <c r="B2" s="66"/>
      <c r="C2" s="69" t="s">
        <v>1</v>
      </c>
      <c r="D2" s="69"/>
      <c r="E2" s="69"/>
      <c r="F2" s="70"/>
      <c r="G2" s="70"/>
    </row>
    <row r="3" ht="47.25" customHeight="1" spans="1:7">
      <c r="A3" s="71"/>
      <c r="B3" s="71"/>
      <c r="C3" s="71"/>
      <c r="D3" s="71"/>
      <c r="E3" s="71"/>
      <c r="F3" s="71"/>
      <c r="G3" s="71"/>
    </row>
    <row r="4" ht="44.25" customHeight="1" spans="1:7">
      <c r="A4" s="72" t="s">
        <v>2</v>
      </c>
      <c r="B4" s="72"/>
      <c r="C4" s="72"/>
      <c r="D4" s="72"/>
      <c r="E4" s="72"/>
      <c r="F4" s="72"/>
      <c r="G4" s="72"/>
    </row>
    <row r="5" ht="41.25" customHeight="1" spans="1:7">
      <c r="A5" s="71"/>
      <c r="B5" s="71"/>
      <c r="C5" s="71"/>
      <c r="D5" s="71"/>
      <c r="E5" s="71"/>
      <c r="F5" s="71"/>
      <c r="G5" s="71"/>
    </row>
    <row r="6" ht="59.25" customHeight="1" spans="1:7">
      <c r="A6" s="73" t="s">
        <v>3</v>
      </c>
      <c r="B6" s="73"/>
      <c r="C6" s="73"/>
      <c r="D6" s="73"/>
      <c r="E6" s="73"/>
      <c r="F6" s="73"/>
      <c r="G6" s="73"/>
    </row>
    <row r="7" ht="18" customHeight="1" spans="1:7">
      <c r="A7" s="74" t="s">
        <v>4</v>
      </c>
      <c r="B7" s="74"/>
      <c r="C7" s="74"/>
      <c r="D7" s="74"/>
      <c r="E7" s="74"/>
      <c r="F7" s="74"/>
      <c r="G7" s="74"/>
    </row>
    <row r="8" ht="230.25" customHeight="1" spans="1:7">
      <c r="A8" s="75"/>
      <c r="B8" s="76"/>
      <c r="C8" s="76"/>
      <c r="D8" s="75"/>
      <c r="E8" s="75"/>
      <c r="F8" s="75"/>
      <c r="G8" s="75"/>
    </row>
    <row r="9" ht="18" customHeight="1" spans="1:7">
      <c r="A9" s="75"/>
      <c r="B9" s="77"/>
      <c r="C9" s="77"/>
      <c r="D9" s="78"/>
      <c r="E9" s="78"/>
      <c r="F9" s="78"/>
      <c r="G9" s="77"/>
    </row>
    <row r="10" ht="45" customHeight="1" spans="1:7">
      <c r="A10" s="75"/>
      <c r="B10" s="75" t="s">
        <v>5</v>
      </c>
      <c r="C10" s="75"/>
      <c r="D10" s="79" t="s">
        <v>6</v>
      </c>
      <c r="E10" s="80"/>
      <c r="F10" s="80"/>
      <c r="G10" s="77"/>
    </row>
    <row r="11" ht="18" customHeight="1" spans="1:7">
      <c r="A11" s="75"/>
      <c r="B11" s="75"/>
      <c r="C11" s="75"/>
      <c r="D11" s="81"/>
      <c r="E11" s="81"/>
      <c r="F11" s="81"/>
      <c r="G11" s="75"/>
    </row>
    <row r="12" ht="28.5" customHeight="1" spans="1:7">
      <c r="A12" s="75"/>
      <c r="B12" s="75" t="s">
        <v>7</v>
      </c>
      <c r="C12" s="75"/>
      <c r="D12" s="82" t="s">
        <v>8</v>
      </c>
      <c r="E12" s="83"/>
      <c r="F12" s="83"/>
      <c r="G12" s="75"/>
    </row>
    <row r="13" ht="18" customHeight="1" spans="1:7">
      <c r="A13" s="75"/>
      <c r="B13" s="77"/>
      <c r="C13" s="77"/>
      <c r="D13" s="84"/>
      <c r="E13" s="84"/>
      <c r="F13" s="84"/>
      <c r="G13" s="77"/>
    </row>
    <row r="14" ht="28.5" customHeight="1" spans="1:7">
      <c r="A14" s="75"/>
      <c r="B14" s="75" t="s">
        <v>9</v>
      </c>
      <c r="C14" s="75"/>
      <c r="D14" s="82" t="s">
        <v>8</v>
      </c>
      <c r="E14" s="83"/>
      <c r="F14" s="83"/>
      <c r="G14" s="75"/>
    </row>
    <row r="15" ht="18" customHeight="1" spans="1:7">
      <c r="A15" s="75"/>
      <c r="B15" s="85"/>
      <c r="C15" s="85"/>
      <c r="D15" s="86"/>
      <c r="E15" s="86"/>
      <c r="F15" s="86"/>
      <c r="G15" s="75"/>
    </row>
    <row r="16" ht="28.5" customHeight="1" spans="1:7">
      <c r="A16" s="75"/>
      <c r="B16" s="75" t="s">
        <v>10</v>
      </c>
      <c r="C16" s="75"/>
      <c r="D16" s="274" t="s">
        <v>11</v>
      </c>
      <c r="E16" s="75"/>
      <c r="F16" s="75"/>
      <c r="G16" s="75"/>
    </row>
    <row r="18" ht="21" customHeight="1"/>
    <row r="19" ht="24" customHeight="1"/>
    <row r="20" ht="14" customHeight="1"/>
    <row r="21" ht="14" customHeight="1"/>
  </sheetData>
  <sheetProtection formatCells="0" formatColumns="0" formatRows="0" insertRows="0" insertColumns="0" insertHyperlinks="0" deleteColumns="0" deleteRows="0" sort="0" autoFilter="0" pivotTables="0"/>
  <mergeCells count="31">
    <mergeCell ref="A1:B1"/>
    <mergeCell ref="C1:E1"/>
    <mergeCell ref="F1:G1"/>
    <mergeCell ref="A2:B2"/>
    <mergeCell ref="C2:E2"/>
    <mergeCell ref="F2:G2"/>
    <mergeCell ref="B3:C3"/>
    <mergeCell ref="E3:F3"/>
    <mergeCell ref="A4:G4"/>
    <mergeCell ref="B5:C5"/>
    <mergeCell ref="E5:F5"/>
    <mergeCell ref="A6:G6"/>
    <mergeCell ref="A7:G7"/>
    <mergeCell ref="B8:C8"/>
    <mergeCell ref="D8:F8"/>
    <mergeCell ref="B9:C9"/>
    <mergeCell ref="E9:F9"/>
    <mergeCell ref="B10:C10"/>
    <mergeCell ref="D10:F10"/>
    <mergeCell ref="B11:C11"/>
    <mergeCell ref="E11:F11"/>
    <mergeCell ref="B12:C12"/>
    <mergeCell ref="D12:F12"/>
    <mergeCell ref="B13:C13"/>
    <mergeCell ref="D13:F13"/>
    <mergeCell ref="B14:C14"/>
    <mergeCell ref="D14:F14"/>
    <mergeCell ref="B15:C15"/>
    <mergeCell ref="D15:F15"/>
    <mergeCell ref="B16:C16"/>
    <mergeCell ref="D16:F16"/>
  </mergeCells>
  <printOptions horizontalCentered="1"/>
  <pageMargins left="0.19975" right="0.19975" top="0.59375" bottom="0" header="0.59375" footer="0"/>
  <pageSetup paperSize="9" scale="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view="pageBreakPreview" zoomScaleNormal="100" topLeftCell="A52" workbookViewId="0">
      <selection activeCell="N31" sqref="N31"/>
    </sheetView>
  </sheetViews>
  <sheetFormatPr defaultColWidth="9" defaultRowHeight="13.5" outlineLevelCol="7"/>
  <cols>
    <col min="1" max="1" width="6" style="16" customWidth="1"/>
    <col min="2" max="2" width="10.125" style="16" customWidth="1"/>
    <col min="3" max="3" width="30.125" style="17" customWidth="1"/>
    <col min="4" max="5" width="6.875" style="16" customWidth="1"/>
    <col min="6" max="6" width="10" style="16" customWidth="1"/>
    <col min="7" max="7" width="10.375" style="16"/>
    <col min="8" max="8" width="7.375" style="16" customWidth="1"/>
    <col min="9" max="16384" width="9" style="18"/>
  </cols>
  <sheetData>
    <row r="1" ht="25.5" spans="1:8">
      <c r="A1" s="19" t="s">
        <v>610</v>
      </c>
      <c r="B1" s="19"/>
      <c r="C1" s="20"/>
      <c r="D1" s="19"/>
      <c r="E1" s="19"/>
      <c r="F1" s="19"/>
      <c r="G1" s="21"/>
      <c r="H1" s="19"/>
    </row>
    <row r="2" ht="35" customHeight="1" spans="1:8">
      <c r="A2" s="22" t="s">
        <v>43</v>
      </c>
      <c r="B2" s="22" t="s">
        <v>79</v>
      </c>
      <c r="C2" s="22" t="s">
        <v>80</v>
      </c>
      <c r="D2" s="22" t="s">
        <v>81</v>
      </c>
      <c r="E2" s="22" t="s">
        <v>82</v>
      </c>
      <c r="F2" s="22" t="s">
        <v>83</v>
      </c>
      <c r="G2" s="23" t="s">
        <v>84</v>
      </c>
      <c r="H2" s="24" t="s">
        <v>46</v>
      </c>
    </row>
    <row r="3" ht="69" customHeight="1" spans="1:8">
      <c r="A3" s="25">
        <v>1</v>
      </c>
      <c r="B3" s="26" t="s">
        <v>516</v>
      </c>
      <c r="C3" s="27" t="s">
        <v>517</v>
      </c>
      <c r="D3" s="28" t="s">
        <v>157</v>
      </c>
      <c r="E3" s="29">
        <v>2</v>
      </c>
      <c r="F3" s="30"/>
      <c r="G3" s="30">
        <f t="shared" ref="G3:G43" si="0">E3*F3</f>
        <v>0</v>
      </c>
      <c r="H3" s="31"/>
    </row>
    <row r="4" ht="76" customHeight="1" spans="1:8">
      <c r="A4" s="25">
        <v>2</v>
      </c>
      <c r="B4" s="26" t="s">
        <v>518</v>
      </c>
      <c r="C4" s="27" t="s">
        <v>517</v>
      </c>
      <c r="D4" s="28" t="s">
        <v>157</v>
      </c>
      <c r="E4" s="29">
        <v>1</v>
      </c>
      <c r="F4" s="30"/>
      <c r="G4" s="30">
        <f t="shared" si="0"/>
        <v>0</v>
      </c>
      <c r="H4" s="31"/>
    </row>
    <row r="5" ht="79" customHeight="1" spans="1:8">
      <c r="A5" s="25">
        <v>3</v>
      </c>
      <c r="B5" s="26" t="s">
        <v>519</v>
      </c>
      <c r="C5" s="27" t="s">
        <v>520</v>
      </c>
      <c r="D5" s="28" t="s">
        <v>157</v>
      </c>
      <c r="E5" s="29">
        <v>2</v>
      </c>
      <c r="F5" s="30"/>
      <c r="G5" s="30">
        <f t="shared" si="0"/>
        <v>0</v>
      </c>
      <c r="H5" s="31"/>
    </row>
    <row r="6" ht="69" customHeight="1" spans="1:8">
      <c r="A6" s="25">
        <v>4</v>
      </c>
      <c r="B6" s="26" t="s">
        <v>521</v>
      </c>
      <c r="C6" s="27" t="s">
        <v>517</v>
      </c>
      <c r="D6" s="28" t="s">
        <v>522</v>
      </c>
      <c r="E6" s="29">
        <v>2</v>
      </c>
      <c r="F6" s="30"/>
      <c r="G6" s="30">
        <f t="shared" si="0"/>
        <v>0</v>
      </c>
      <c r="H6" s="31"/>
    </row>
    <row r="7" ht="79" customHeight="1" spans="1:8">
      <c r="A7" s="25">
        <v>5</v>
      </c>
      <c r="B7" s="26" t="s">
        <v>523</v>
      </c>
      <c r="C7" s="27" t="s">
        <v>524</v>
      </c>
      <c r="D7" s="28" t="s">
        <v>522</v>
      </c>
      <c r="E7" s="29">
        <v>4</v>
      </c>
      <c r="F7" s="30"/>
      <c r="G7" s="30">
        <f t="shared" si="0"/>
        <v>0</v>
      </c>
      <c r="H7" s="31"/>
    </row>
    <row r="8" ht="78" customHeight="1" spans="1:8">
      <c r="A8" s="25">
        <v>6</v>
      </c>
      <c r="B8" s="26" t="s">
        <v>525</v>
      </c>
      <c r="C8" s="27" t="s">
        <v>526</v>
      </c>
      <c r="D8" s="28" t="s">
        <v>188</v>
      </c>
      <c r="E8" s="29">
        <v>1</v>
      </c>
      <c r="F8" s="30"/>
      <c r="G8" s="30">
        <f t="shared" si="0"/>
        <v>0</v>
      </c>
      <c r="H8" s="31"/>
    </row>
    <row r="9" ht="78" customHeight="1" spans="1:8">
      <c r="A9" s="25">
        <v>7</v>
      </c>
      <c r="B9" s="26" t="s">
        <v>527</v>
      </c>
      <c r="C9" s="27" t="s">
        <v>528</v>
      </c>
      <c r="D9" s="28" t="s">
        <v>157</v>
      </c>
      <c r="E9" s="29">
        <v>1</v>
      </c>
      <c r="F9" s="30"/>
      <c r="G9" s="30">
        <f t="shared" si="0"/>
        <v>0</v>
      </c>
      <c r="H9" s="31"/>
    </row>
    <row r="10" ht="78" customHeight="1" spans="1:8">
      <c r="A10" s="25">
        <v>8</v>
      </c>
      <c r="B10" s="26" t="s">
        <v>529</v>
      </c>
      <c r="C10" s="27" t="s">
        <v>530</v>
      </c>
      <c r="D10" s="28" t="s">
        <v>522</v>
      </c>
      <c r="E10" s="29">
        <v>5</v>
      </c>
      <c r="F10" s="30"/>
      <c r="G10" s="30">
        <f t="shared" si="0"/>
        <v>0</v>
      </c>
      <c r="H10" s="31"/>
    </row>
    <row r="11" ht="78" customHeight="1" spans="1:8">
      <c r="A11" s="25">
        <v>9</v>
      </c>
      <c r="B11" s="26" t="s">
        <v>531</v>
      </c>
      <c r="C11" s="27" t="s">
        <v>532</v>
      </c>
      <c r="D11" s="28" t="s">
        <v>188</v>
      </c>
      <c r="E11" s="29">
        <v>1</v>
      </c>
      <c r="F11" s="30"/>
      <c r="G11" s="30">
        <f t="shared" si="0"/>
        <v>0</v>
      </c>
      <c r="H11" s="31"/>
    </row>
    <row r="12" ht="78" customHeight="1" spans="1:8">
      <c r="A12" s="25">
        <v>10</v>
      </c>
      <c r="B12" s="26" t="s">
        <v>533</v>
      </c>
      <c r="C12" s="27" t="s">
        <v>534</v>
      </c>
      <c r="D12" s="28" t="s">
        <v>522</v>
      </c>
      <c r="E12" s="29">
        <v>3</v>
      </c>
      <c r="F12" s="30"/>
      <c r="G12" s="30">
        <f t="shared" si="0"/>
        <v>0</v>
      </c>
      <c r="H12" s="31"/>
    </row>
    <row r="13" ht="77" customHeight="1" spans="1:8">
      <c r="A13" s="25">
        <v>11</v>
      </c>
      <c r="B13" s="26" t="s">
        <v>535</v>
      </c>
      <c r="C13" s="27" t="s">
        <v>536</v>
      </c>
      <c r="D13" s="28" t="s">
        <v>188</v>
      </c>
      <c r="E13" s="29">
        <v>2</v>
      </c>
      <c r="F13" s="30"/>
      <c r="G13" s="30">
        <f t="shared" si="0"/>
        <v>0</v>
      </c>
      <c r="H13" s="31"/>
    </row>
    <row r="14" ht="77" customHeight="1" spans="1:8">
      <c r="A14" s="25">
        <v>12</v>
      </c>
      <c r="B14" s="26" t="s">
        <v>537</v>
      </c>
      <c r="C14" s="27" t="s">
        <v>538</v>
      </c>
      <c r="D14" s="28" t="s">
        <v>157</v>
      </c>
      <c r="E14" s="29">
        <v>5</v>
      </c>
      <c r="F14" s="30"/>
      <c r="G14" s="30">
        <f t="shared" si="0"/>
        <v>0</v>
      </c>
      <c r="H14" s="31"/>
    </row>
    <row r="15" ht="76" customHeight="1" spans="1:8">
      <c r="A15" s="25">
        <v>13</v>
      </c>
      <c r="B15" s="26" t="s">
        <v>539</v>
      </c>
      <c r="C15" s="27" t="s">
        <v>540</v>
      </c>
      <c r="D15" s="28" t="s">
        <v>157</v>
      </c>
      <c r="E15" s="29">
        <v>6</v>
      </c>
      <c r="F15" s="30"/>
      <c r="G15" s="30">
        <f t="shared" si="0"/>
        <v>0</v>
      </c>
      <c r="H15" s="31"/>
    </row>
    <row r="16" ht="83" customHeight="1" spans="1:8">
      <c r="A16" s="25">
        <v>14</v>
      </c>
      <c r="B16" s="32" t="s">
        <v>541</v>
      </c>
      <c r="C16" s="33" t="s">
        <v>542</v>
      </c>
      <c r="D16" s="34" t="s">
        <v>157</v>
      </c>
      <c r="E16" s="29">
        <v>4</v>
      </c>
      <c r="F16" s="30"/>
      <c r="G16" s="30">
        <f t="shared" si="0"/>
        <v>0</v>
      </c>
      <c r="H16" s="35"/>
    </row>
    <row r="17" ht="76" customHeight="1" spans="1:8">
      <c r="A17" s="25">
        <v>15</v>
      </c>
      <c r="B17" s="36" t="s">
        <v>543</v>
      </c>
      <c r="C17" s="37" t="s">
        <v>544</v>
      </c>
      <c r="D17" s="38" t="s">
        <v>522</v>
      </c>
      <c r="E17" s="29">
        <v>5</v>
      </c>
      <c r="F17" s="30"/>
      <c r="G17" s="30">
        <f t="shared" si="0"/>
        <v>0</v>
      </c>
      <c r="H17" s="31"/>
    </row>
    <row r="18" ht="72" spans="1:8">
      <c r="A18" s="25">
        <v>16</v>
      </c>
      <c r="B18" s="36" t="s">
        <v>545</v>
      </c>
      <c r="C18" s="37" t="s">
        <v>546</v>
      </c>
      <c r="D18" s="38" t="s">
        <v>157</v>
      </c>
      <c r="E18" s="29">
        <v>7</v>
      </c>
      <c r="F18" s="30"/>
      <c r="G18" s="30">
        <f t="shared" si="0"/>
        <v>0</v>
      </c>
      <c r="H18" s="31"/>
    </row>
    <row r="19" ht="72" spans="1:8">
      <c r="A19" s="25">
        <v>17</v>
      </c>
      <c r="B19" s="36" t="s">
        <v>547</v>
      </c>
      <c r="C19" s="37" t="s">
        <v>548</v>
      </c>
      <c r="D19" s="38" t="s">
        <v>188</v>
      </c>
      <c r="E19" s="29">
        <v>4</v>
      </c>
      <c r="F19" s="30"/>
      <c r="G19" s="30">
        <f t="shared" si="0"/>
        <v>0</v>
      </c>
      <c r="H19" s="31"/>
    </row>
    <row r="20" ht="72" spans="1:8">
      <c r="A20" s="25">
        <v>18</v>
      </c>
      <c r="B20" s="36" t="s">
        <v>549</v>
      </c>
      <c r="C20" s="37" t="s">
        <v>550</v>
      </c>
      <c r="D20" s="38" t="s">
        <v>157</v>
      </c>
      <c r="E20" s="29">
        <v>3</v>
      </c>
      <c r="F20" s="30"/>
      <c r="G20" s="30">
        <f t="shared" si="0"/>
        <v>0</v>
      </c>
      <c r="H20" s="31"/>
    </row>
    <row r="21" ht="72" spans="1:8">
      <c r="A21" s="25">
        <v>19</v>
      </c>
      <c r="B21" s="36" t="s">
        <v>551</v>
      </c>
      <c r="C21" s="37" t="s">
        <v>552</v>
      </c>
      <c r="D21" s="38" t="s">
        <v>522</v>
      </c>
      <c r="E21" s="29">
        <v>3</v>
      </c>
      <c r="F21" s="30"/>
      <c r="G21" s="30">
        <f t="shared" si="0"/>
        <v>0</v>
      </c>
      <c r="H21" s="31"/>
    </row>
    <row r="22" ht="72" spans="1:8">
      <c r="A22" s="25">
        <v>20</v>
      </c>
      <c r="B22" s="36" t="s">
        <v>533</v>
      </c>
      <c r="C22" s="37" t="s">
        <v>553</v>
      </c>
      <c r="D22" s="38" t="s">
        <v>554</v>
      </c>
      <c r="E22" s="29">
        <v>4</v>
      </c>
      <c r="F22" s="30"/>
      <c r="G22" s="30">
        <f t="shared" si="0"/>
        <v>0</v>
      </c>
      <c r="H22" s="31"/>
    </row>
    <row r="23" ht="72" spans="1:8">
      <c r="A23" s="25">
        <v>21</v>
      </c>
      <c r="B23" s="36" t="s">
        <v>555</v>
      </c>
      <c r="C23" s="37" t="s">
        <v>556</v>
      </c>
      <c r="D23" s="38" t="s">
        <v>188</v>
      </c>
      <c r="E23" s="29">
        <v>4</v>
      </c>
      <c r="F23" s="30"/>
      <c r="G23" s="30">
        <f t="shared" si="0"/>
        <v>0</v>
      </c>
      <c r="H23" s="31"/>
    </row>
    <row r="24" ht="72" spans="1:8">
      <c r="A24" s="25">
        <v>22</v>
      </c>
      <c r="B24" s="36" t="s">
        <v>557</v>
      </c>
      <c r="C24" s="37" t="s">
        <v>558</v>
      </c>
      <c r="D24" s="38" t="s">
        <v>157</v>
      </c>
      <c r="E24" s="29">
        <v>1</v>
      </c>
      <c r="F24" s="30"/>
      <c r="G24" s="30">
        <f t="shared" si="0"/>
        <v>0</v>
      </c>
      <c r="H24" s="31"/>
    </row>
    <row r="25" ht="72" spans="1:8">
      <c r="A25" s="25">
        <v>23</v>
      </c>
      <c r="B25" s="36" t="s">
        <v>559</v>
      </c>
      <c r="C25" s="37" t="s">
        <v>560</v>
      </c>
      <c r="D25" s="38" t="s">
        <v>157</v>
      </c>
      <c r="E25" s="29">
        <v>5</v>
      </c>
      <c r="F25" s="30"/>
      <c r="G25" s="30">
        <f t="shared" si="0"/>
        <v>0</v>
      </c>
      <c r="H25" s="31"/>
    </row>
    <row r="26" ht="60" spans="1:8">
      <c r="A26" s="25">
        <v>24</v>
      </c>
      <c r="B26" s="36" t="s">
        <v>561</v>
      </c>
      <c r="C26" s="39" t="s">
        <v>562</v>
      </c>
      <c r="D26" s="38" t="s">
        <v>157</v>
      </c>
      <c r="E26" s="29">
        <v>5</v>
      </c>
      <c r="F26" s="30"/>
      <c r="G26" s="30">
        <f t="shared" si="0"/>
        <v>0</v>
      </c>
      <c r="H26" s="31"/>
    </row>
    <row r="27" ht="72" spans="1:8">
      <c r="A27" s="25">
        <v>25</v>
      </c>
      <c r="B27" s="36" t="s">
        <v>563</v>
      </c>
      <c r="C27" s="37" t="s">
        <v>564</v>
      </c>
      <c r="D27" s="38" t="s">
        <v>157</v>
      </c>
      <c r="E27" s="29">
        <v>2</v>
      </c>
      <c r="F27" s="30"/>
      <c r="G27" s="30">
        <f t="shared" si="0"/>
        <v>0</v>
      </c>
      <c r="H27" s="31"/>
    </row>
    <row r="28" ht="72" spans="1:8">
      <c r="A28" s="25">
        <v>26</v>
      </c>
      <c r="B28" s="36" t="s">
        <v>565</v>
      </c>
      <c r="C28" s="37" t="s">
        <v>566</v>
      </c>
      <c r="D28" s="38" t="s">
        <v>157</v>
      </c>
      <c r="E28" s="29">
        <v>1</v>
      </c>
      <c r="F28" s="30"/>
      <c r="G28" s="30">
        <f t="shared" si="0"/>
        <v>0</v>
      </c>
      <c r="H28" s="31"/>
    </row>
    <row r="29" ht="60" spans="1:8">
      <c r="A29" s="25">
        <v>27</v>
      </c>
      <c r="B29" s="36" t="s">
        <v>567</v>
      </c>
      <c r="C29" s="39" t="s">
        <v>562</v>
      </c>
      <c r="D29" s="38" t="s">
        <v>188</v>
      </c>
      <c r="E29" s="29">
        <v>3</v>
      </c>
      <c r="F29" s="30"/>
      <c r="G29" s="30">
        <f t="shared" si="0"/>
        <v>0</v>
      </c>
      <c r="H29" s="31"/>
    </row>
    <row r="30" ht="72" spans="1:8">
      <c r="A30" s="25">
        <v>28</v>
      </c>
      <c r="B30" s="36" t="s">
        <v>568</v>
      </c>
      <c r="C30" s="37" t="s">
        <v>569</v>
      </c>
      <c r="D30" s="38" t="s">
        <v>157</v>
      </c>
      <c r="E30" s="29">
        <v>1</v>
      </c>
      <c r="F30" s="30"/>
      <c r="G30" s="30">
        <f t="shared" si="0"/>
        <v>0</v>
      </c>
      <c r="H30" s="31"/>
    </row>
    <row r="31" ht="60" spans="1:8">
      <c r="A31" s="25">
        <v>29</v>
      </c>
      <c r="B31" s="36" t="s">
        <v>570</v>
      </c>
      <c r="C31" s="39" t="s">
        <v>562</v>
      </c>
      <c r="D31" s="38" t="s">
        <v>157</v>
      </c>
      <c r="E31" s="29">
        <v>5</v>
      </c>
      <c r="F31" s="30"/>
      <c r="G31" s="30">
        <f t="shared" si="0"/>
        <v>0</v>
      </c>
      <c r="H31" s="31"/>
    </row>
    <row r="32" ht="72" spans="1:8">
      <c r="A32" s="25">
        <v>30</v>
      </c>
      <c r="B32" s="36" t="s">
        <v>571</v>
      </c>
      <c r="C32" s="37" t="s">
        <v>572</v>
      </c>
      <c r="D32" s="38" t="s">
        <v>157</v>
      </c>
      <c r="E32" s="29">
        <v>1</v>
      </c>
      <c r="F32" s="30"/>
      <c r="G32" s="30">
        <f t="shared" si="0"/>
        <v>0</v>
      </c>
      <c r="H32" s="31"/>
    </row>
    <row r="33" ht="72" spans="1:8">
      <c r="A33" s="25">
        <v>31</v>
      </c>
      <c r="B33" s="36" t="s">
        <v>573</v>
      </c>
      <c r="C33" s="37" t="s">
        <v>574</v>
      </c>
      <c r="D33" s="38" t="s">
        <v>157</v>
      </c>
      <c r="E33" s="29">
        <v>1</v>
      </c>
      <c r="F33" s="30"/>
      <c r="G33" s="30">
        <f t="shared" si="0"/>
        <v>0</v>
      </c>
      <c r="H33" s="31"/>
    </row>
    <row r="34" ht="72" spans="1:8">
      <c r="A34" s="25">
        <v>32</v>
      </c>
      <c r="B34" s="36" t="s">
        <v>571</v>
      </c>
      <c r="C34" s="37" t="s">
        <v>575</v>
      </c>
      <c r="D34" s="38" t="s">
        <v>157</v>
      </c>
      <c r="E34" s="29">
        <v>1</v>
      </c>
      <c r="F34" s="30"/>
      <c r="G34" s="30">
        <f t="shared" si="0"/>
        <v>0</v>
      </c>
      <c r="H34" s="31"/>
    </row>
    <row r="35" ht="72" spans="1:8">
      <c r="A35" s="25">
        <v>33</v>
      </c>
      <c r="B35" s="36" t="s">
        <v>576</v>
      </c>
      <c r="C35" s="37" t="s">
        <v>577</v>
      </c>
      <c r="D35" s="38" t="s">
        <v>157</v>
      </c>
      <c r="E35" s="29">
        <v>1</v>
      </c>
      <c r="F35" s="30"/>
      <c r="G35" s="30">
        <f t="shared" si="0"/>
        <v>0</v>
      </c>
      <c r="H35" s="31"/>
    </row>
    <row r="36" ht="72" spans="1:8">
      <c r="A36" s="25">
        <v>34</v>
      </c>
      <c r="B36" s="36" t="s">
        <v>578</v>
      </c>
      <c r="C36" s="37" t="s">
        <v>579</v>
      </c>
      <c r="D36" s="38" t="s">
        <v>157</v>
      </c>
      <c r="E36" s="29">
        <v>1</v>
      </c>
      <c r="F36" s="30"/>
      <c r="G36" s="30">
        <f t="shared" si="0"/>
        <v>0</v>
      </c>
      <c r="H36" s="31"/>
    </row>
    <row r="37" ht="72" spans="1:8">
      <c r="A37" s="25">
        <v>35</v>
      </c>
      <c r="B37" s="36" t="s">
        <v>580</v>
      </c>
      <c r="C37" s="37" t="s">
        <v>581</v>
      </c>
      <c r="D37" s="38" t="s">
        <v>157</v>
      </c>
      <c r="E37" s="29">
        <v>1</v>
      </c>
      <c r="F37" s="30"/>
      <c r="G37" s="30">
        <f t="shared" si="0"/>
        <v>0</v>
      </c>
      <c r="H37" s="31"/>
    </row>
    <row r="38" ht="60" spans="1:8">
      <c r="A38" s="25">
        <v>36</v>
      </c>
      <c r="B38" s="36" t="s">
        <v>580</v>
      </c>
      <c r="C38" s="39" t="s">
        <v>562</v>
      </c>
      <c r="D38" s="38" t="s">
        <v>157</v>
      </c>
      <c r="E38" s="29">
        <v>1</v>
      </c>
      <c r="F38" s="30"/>
      <c r="G38" s="30">
        <f t="shared" si="0"/>
        <v>0</v>
      </c>
      <c r="H38" s="31"/>
    </row>
    <row r="39" ht="72" spans="1:8">
      <c r="A39" s="25">
        <v>37</v>
      </c>
      <c r="B39" s="36" t="s">
        <v>582</v>
      </c>
      <c r="C39" s="37" t="s">
        <v>583</v>
      </c>
      <c r="D39" s="38" t="s">
        <v>522</v>
      </c>
      <c r="E39" s="29">
        <v>1</v>
      </c>
      <c r="F39" s="30"/>
      <c r="G39" s="30">
        <f t="shared" si="0"/>
        <v>0</v>
      </c>
      <c r="H39" s="31"/>
    </row>
    <row r="40" ht="60" spans="1:8">
      <c r="A40" s="25">
        <v>38</v>
      </c>
      <c r="B40" s="36" t="s">
        <v>584</v>
      </c>
      <c r="C40" s="39" t="s">
        <v>562</v>
      </c>
      <c r="D40" s="38" t="s">
        <v>172</v>
      </c>
      <c r="E40" s="29">
        <v>1</v>
      </c>
      <c r="F40" s="30"/>
      <c r="G40" s="30">
        <f t="shared" si="0"/>
        <v>0</v>
      </c>
      <c r="H40" s="31"/>
    </row>
    <row r="41" ht="60" spans="1:8">
      <c r="A41" s="25">
        <v>39</v>
      </c>
      <c r="B41" s="36" t="s">
        <v>585</v>
      </c>
      <c r="C41" s="39" t="s">
        <v>562</v>
      </c>
      <c r="D41" s="38" t="s">
        <v>522</v>
      </c>
      <c r="E41" s="29">
        <v>2</v>
      </c>
      <c r="F41" s="30"/>
      <c r="G41" s="30">
        <f t="shared" si="0"/>
        <v>0</v>
      </c>
      <c r="H41" s="31"/>
    </row>
    <row r="42" ht="60" spans="1:8">
      <c r="A42" s="25">
        <v>40</v>
      </c>
      <c r="B42" s="36" t="s">
        <v>587</v>
      </c>
      <c r="C42" s="39" t="s">
        <v>562</v>
      </c>
      <c r="D42" s="38" t="s">
        <v>522</v>
      </c>
      <c r="E42" s="29">
        <v>1</v>
      </c>
      <c r="F42" s="30"/>
      <c r="G42" s="30">
        <f t="shared" si="0"/>
        <v>0</v>
      </c>
      <c r="H42" s="31"/>
    </row>
    <row r="43" ht="72" spans="1:8">
      <c r="A43" s="25">
        <v>41</v>
      </c>
      <c r="B43" s="36" t="s">
        <v>571</v>
      </c>
      <c r="C43" s="37" t="s">
        <v>588</v>
      </c>
      <c r="D43" s="38" t="s">
        <v>157</v>
      </c>
      <c r="E43" s="29">
        <v>1</v>
      </c>
      <c r="F43" s="30"/>
      <c r="G43" s="30">
        <f t="shared" si="0"/>
        <v>0</v>
      </c>
      <c r="H43" s="31"/>
    </row>
    <row r="44" ht="60" spans="1:8">
      <c r="A44" s="25">
        <v>42</v>
      </c>
      <c r="B44" s="36" t="s">
        <v>590</v>
      </c>
      <c r="C44" s="39" t="s">
        <v>562</v>
      </c>
      <c r="D44" s="38" t="s">
        <v>522</v>
      </c>
      <c r="E44" s="29">
        <v>1</v>
      </c>
      <c r="F44" s="30"/>
      <c r="G44" s="30">
        <f t="shared" ref="G44:G54" si="1">E44*F44</f>
        <v>0</v>
      </c>
      <c r="H44" s="31"/>
    </row>
    <row r="45" ht="72" spans="1:8">
      <c r="A45" s="25">
        <v>43</v>
      </c>
      <c r="B45" s="36" t="s">
        <v>591</v>
      </c>
      <c r="C45" s="37" t="s">
        <v>592</v>
      </c>
      <c r="D45" s="38" t="s">
        <v>157</v>
      </c>
      <c r="E45" s="29">
        <v>6</v>
      </c>
      <c r="F45" s="30"/>
      <c r="G45" s="30">
        <f t="shared" si="1"/>
        <v>0</v>
      </c>
      <c r="H45" s="31"/>
    </row>
    <row r="46" ht="60" spans="1:8">
      <c r="A46" s="25">
        <v>44</v>
      </c>
      <c r="B46" s="36" t="s">
        <v>593</v>
      </c>
      <c r="C46" s="39" t="s">
        <v>562</v>
      </c>
      <c r="D46" s="38" t="s">
        <v>522</v>
      </c>
      <c r="E46" s="29">
        <v>1</v>
      </c>
      <c r="F46" s="30"/>
      <c r="G46" s="30">
        <f t="shared" si="1"/>
        <v>0</v>
      </c>
      <c r="H46" s="31"/>
    </row>
    <row r="47" ht="60" spans="1:8">
      <c r="A47" s="25">
        <v>45</v>
      </c>
      <c r="B47" s="36" t="s">
        <v>594</v>
      </c>
      <c r="C47" s="39" t="s">
        <v>562</v>
      </c>
      <c r="D47" s="38" t="s">
        <v>157</v>
      </c>
      <c r="E47" s="29">
        <v>1</v>
      </c>
      <c r="F47" s="30"/>
      <c r="G47" s="30">
        <f t="shared" si="1"/>
        <v>0</v>
      </c>
      <c r="H47" s="31"/>
    </row>
    <row r="48" ht="60" spans="1:8">
      <c r="A48" s="25">
        <v>46</v>
      </c>
      <c r="B48" s="36" t="s">
        <v>595</v>
      </c>
      <c r="C48" s="39" t="s">
        <v>562</v>
      </c>
      <c r="D48" s="38" t="s">
        <v>157</v>
      </c>
      <c r="E48" s="29">
        <v>1</v>
      </c>
      <c r="F48" s="30"/>
      <c r="G48" s="30">
        <f t="shared" si="1"/>
        <v>0</v>
      </c>
      <c r="H48" s="31"/>
    </row>
    <row r="49" ht="60" spans="1:8">
      <c r="A49" s="25">
        <v>47</v>
      </c>
      <c r="B49" s="36" t="s">
        <v>596</v>
      </c>
      <c r="C49" s="39" t="s">
        <v>562</v>
      </c>
      <c r="D49" s="40" t="s">
        <v>157</v>
      </c>
      <c r="E49" s="29">
        <v>1</v>
      </c>
      <c r="F49" s="30"/>
      <c r="G49" s="30">
        <f t="shared" si="1"/>
        <v>0</v>
      </c>
      <c r="H49" s="31"/>
    </row>
    <row r="50" ht="72" spans="1:8">
      <c r="A50" s="25">
        <v>48</v>
      </c>
      <c r="B50" s="36" t="s">
        <v>597</v>
      </c>
      <c r="C50" s="37" t="s">
        <v>598</v>
      </c>
      <c r="D50" s="38" t="s">
        <v>157</v>
      </c>
      <c r="E50" s="29">
        <v>5</v>
      </c>
      <c r="F50" s="30"/>
      <c r="G50" s="30">
        <f t="shared" si="1"/>
        <v>0</v>
      </c>
      <c r="H50" s="31"/>
    </row>
    <row r="51" ht="72" spans="1:8">
      <c r="A51" s="25">
        <v>49</v>
      </c>
      <c r="B51" s="36" t="s">
        <v>599</v>
      </c>
      <c r="C51" s="37" t="s">
        <v>600</v>
      </c>
      <c r="D51" s="38" t="s">
        <v>157</v>
      </c>
      <c r="E51" s="29">
        <v>1</v>
      </c>
      <c r="F51" s="30"/>
      <c r="G51" s="30">
        <f t="shared" si="1"/>
        <v>0</v>
      </c>
      <c r="H51" s="31"/>
    </row>
    <row r="52" ht="72" spans="1:8">
      <c r="A52" s="25">
        <v>50</v>
      </c>
      <c r="B52" s="36" t="s">
        <v>601</v>
      </c>
      <c r="C52" s="37" t="s">
        <v>602</v>
      </c>
      <c r="D52" s="38" t="s">
        <v>522</v>
      </c>
      <c r="E52" s="29">
        <v>1</v>
      </c>
      <c r="F52" s="30"/>
      <c r="G52" s="30">
        <f t="shared" si="1"/>
        <v>0</v>
      </c>
      <c r="H52" s="31"/>
    </row>
    <row r="53" ht="72" spans="1:8">
      <c r="A53" s="25">
        <v>51</v>
      </c>
      <c r="B53" s="36" t="s">
        <v>599</v>
      </c>
      <c r="C53" s="37" t="s">
        <v>603</v>
      </c>
      <c r="D53" s="38" t="s">
        <v>157</v>
      </c>
      <c r="E53" s="29">
        <v>1</v>
      </c>
      <c r="F53" s="30"/>
      <c r="G53" s="30">
        <f t="shared" si="1"/>
        <v>0</v>
      </c>
      <c r="H53" s="31"/>
    </row>
    <row r="54" ht="60" spans="1:8">
      <c r="A54" s="25">
        <v>52</v>
      </c>
      <c r="B54" s="36" t="s">
        <v>604</v>
      </c>
      <c r="C54" s="39" t="s">
        <v>562</v>
      </c>
      <c r="D54" s="38" t="s">
        <v>157</v>
      </c>
      <c r="E54" s="29">
        <v>2</v>
      </c>
      <c r="F54" s="30"/>
      <c r="G54" s="30">
        <f t="shared" si="1"/>
        <v>0</v>
      </c>
      <c r="H54" s="31"/>
    </row>
    <row r="55" ht="60" spans="1:8">
      <c r="A55" s="25">
        <v>53</v>
      </c>
      <c r="B55" s="36" t="s">
        <v>605</v>
      </c>
      <c r="C55" s="39" t="s">
        <v>562</v>
      </c>
      <c r="D55" s="38" t="s">
        <v>522</v>
      </c>
      <c r="E55" s="29">
        <v>1</v>
      </c>
      <c r="F55" s="30"/>
      <c r="G55" s="30">
        <f t="shared" ref="G55:G58" si="2">E55*F55</f>
        <v>0</v>
      </c>
      <c r="H55" s="31"/>
    </row>
    <row r="56" ht="60" spans="1:8">
      <c r="A56" s="25">
        <v>54</v>
      </c>
      <c r="B56" s="36" t="s">
        <v>606</v>
      </c>
      <c r="C56" s="39" t="s">
        <v>562</v>
      </c>
      <c r="D56" s="38" t="s">
        <v>522</v>
      </c>
      <c r="E56" s="29">
        <v>1</v>
      </c>
      <c r="F56" s="30"/>
      <c r="G56" s="30">
        <f t="shared" si="2"/>
        <v>0</v>
      </c>
      <c r="H56" s="31"/>
    </row>
    <row r="57" ht="72" spans="1:8">
      <c r="A57" s="25">
        <v>55</v>
      </c>
      <c r="B57" s="36" t="s">
        <v>607</v>
      </c>
      <c r="C57" s="37" t="s">
        <v>608</v>
      </c>
      <c r="D57" s="38" t="s">
        <v>188</v>
      </c>
      <c r="E57" s="29">
        <v>1</v>
      </c>
      <c r="F57" s="30"/>
      <c r="G57" s="30">
        <f t="shared" si="2"/>
        <v>0</v>
      </c>
      <c r="H57" s="31"/>
    </row>
    <row r="58" ht="36" spans="1:8">
      <c r="A58" s="25">
        <v>56</v>
      </c>
      <c r="B58" s="36" t="s">
        <v>71</v>
      </c>
      <c r="C58" s="37" t="s">
        <v>609</v>
      </c>
      <c r="D58" s="36" t="s">
        <v>502</v>
      </c>
      <c r="E58" s="29">
        <v>2</v>
      </c>
      <c r="F58" s="30"/>
      <c r="G58" s="30">
        <f t="shared" si="2"/>
        <v>0</v>
      </c>
      <c r="H58" s="31"/>
    </row>
    <row r="59" ht="40" customHeight="1" spans="1:8">
      <c r="A59" s="41" t="s">
        <v>498</v>
      </c>
      <c r="B59" s="41"/>
      <c r="C59" s="42"/>
      <c r="D59" s="31"/>
      <c r="E59" s="31"/>
      <c r="F59" s="31"/>
      <c r="G59" s="43">
        <f>SUM(G3:G58)</f>
        <v>0</v>
      </c>
      <c r="H59" s="31"/>
    </row>
  </sheetData>
  <mergeCells count="2">
    <mergeCell ref="A1:H1"/>
    <mergeCell ref="A59:B59"/>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view="pageBreakPreview" zoomScaleNormal="100" topLeftCell="A9" workbookViewId="0">
      <selection activeCell="A24" sqref="A24:G24"/>
    </sheetView>
  </sheetViews>
  <sheetFormatPr defaultColWidth="9" defaultRowHeight="13.5" outlineLevelCol="6"/>
  <cols>
    <col min="1" max="1" width="12.25" customWidth="1"/>
    <col min="2" max="2" width="16" customWidth="1"/>
    <col min="3" max="3" width="12.375" customWidth="1"/>
    <col min="4" max="4" width="12.875" customWidth="1"/>
    <col min="6" max="6" width="10.125" customWidth="1"/>
    <col min="7" max="7" width="12.75" customWidth="1"/>
    <col min="12" max="12" width="12.625"/>
  </cols>
  <sheetData>
    <row r="1" ht="40" customHeight="1" spans="1:7">
      <c r="A1" s="10" t="s">
        <v>611</v>
      </c>
      <c r="B1" s="10"/>
      <c r="C1" s="10"/>
      <c r="D1" s="10"/>
      <c r="E1" s="10"/>
      <c r="F1" s="10"/>
      <c r="G1" s="10"/>
    </row>
    <row r="2" ht="46" customHeight="1" spans="1:7">
      <c r="A2" s="11" t="s">
        <v>79</v>
      </c>
      <c r="B2" s="11" t="s">
        <v>612</v>
      </c>
      <c r="C2" s="11" t="s">
        <v>613</v>
      </c>
      <c r="D2" s="5" t="s">
        <v>614</v>
      </c>
      <c r="E2" s="11" t="s">
        <v>615</v>
      </c>
      <c r="F2" s="11" t="s">
        <v>616</v>
      </c>
      <c r="G2" s="5" t="s">
        <v>84</v>
      </c>
    </row>
    <row r="3" ht="20" customHeight="1" spans="1:7">
      <c r="A3" s="8" t="s">
        <v>617</v>
      </c>
      <c r="B3" s="7" t="s">
        <v>618</v>
      </c>
      <c r="C3" s="7" t="s">
        <v>619</v>
      </c>
      <c r="D3" s="12">
        <f t="shared" ref="D3:D9" si="0">400/1.13</f>
        <v>353.982300884956</v>
      </c>
      <c r="E3" s="7">
        <v>2</v>
      </c>
      <c r="F3" s="7">
        <v>17</v>
      </c>
      <c r="G3" s="12">
        <f>D3*E3*F3</f>
        <v>12035.3982300885</v>
      </c>
    </row>
    <row r="4" ht="20" customHeight="1" spans="1:7">
      <c r="A4" s="8"/>
      <c r="B4" s="7" t="s">
        <v>620</v>
      </c>
      <c r="C4" s="7" t="s">
        <v>619</v>
      </c>
      <c r="D4" s="12">
        <f t="shared" si="0"/>
        <v>353.982300884956</v>
      </c>
      <c r="E4" s="7">
        <v>2</v>
      </c>
      <c r="F4" s="7">
        <v>17</v>
      </c>
      <c r="G4" s="12">
        <f t="shared" ref="G4:G9" si="1">D4*E4*F4</f>
        <v>12035.3982300885</v>
      </c>
    </row>
    <row r="5" ht="20" customHeight="1" spans="1:7">
      <c r="A5" s="8"/>
      <c r="B5" s="7" t="s">
        <v>621</v>
      </c>
      <c r="C5" s="7" t="s">
        <v>619</v>
      </c>
      <c r="D5" s="12">
        <f t="shared" si="0"/>
        <v>353.982300884956</v>
      </c>
      <c r="E5" s="7">
        <v>2</v>
      </c>
      <c r="F5" s="7">
        <v>17</v>
      </c>
      <c r="G5" s="12">
        <f t="shared" si="1"/>
        <v>12035.3982300885</v>
      </c>
    </row>
    <row r="6" ht="20" customHeight="1" spans="1:7">
      <c r="A6" s="8"/>
      <c r="B6" s="7" t="s">
        <v>622</v>
      </c>
      <c r="C6" s="7" t="s">
        <v>619</v>
      </c>
      <c r="D6" s="12">
        <f t="shared" si="0"/>
        <v>353.982300884956</v>
      </c>
      <c r="E6" s="7">
        <v>2</v>
      </c>
      <c r="F6" s="7">
        <v>17</v>
      </c>
      <c r="G6" s="12">
        <f t="shared" si="1"/>
        <v>12035.3982300885</v>
      </c>
    </row>
    <row r="7" ht="20" customHeight="1" spans="1:7">
      <c r="A7" s="8"/>
      <c r="B7" s="7" t="s">
        <v>623</v>
      </c>
      <c r="C7" s="7" t="s">
        <v>619</v>
      </c>
      <c r="D7" s="12">
        <f t="shared" si="0"/>
        <v>353.982300884956</v>
      </c>
      <c r="E7" s="7">
        <v>2</v>
      </c>
      <c r="F7" s="7">
        <v>17</v>
      </c>
      <c r="G7" s="12">
        <f t="shared" si="1"/>
        <v>12035.3982300885</v>
      </c>
    </row>
    <row r="8" ht="20" customHeight="1" spans="1:7">
      <c r="A8" s="8"/>
      <c r="B8" s="7" t="s">
        <v>624</v>
      </c>
      <c r="C8" s="7" t="s">
        <v>619</v>
      </c>
      <c r="D8" s="12">
        <f t="shared" si="0"/>
        <v>353.982300884956</v>
      </c>
      <c r="E8" s="7">
        <v>2</v>
      </c>
      <c r="F8" s="7">
        <v>17</v>
      </c>
      <c r="G8" s="12">
        <f t="shared" si="1"/>
        <v>12035.3982300885</v>
      </c>
    </row>
    <row r="9" ht="20" customHeight="1" spans="1:7">
      <c r="A9" s="8"/>
      <c r="B9" s="7" t="s">
        <v>625</v>
      </c>
      <c r="C9" s="7" t="s">
        <v>626</v>
      </c>
      <c r="D9" s="12">
        <f t="shared" si="0"/>
        <v>353.982300884956</v>
      </c>
      <c r="E9" s="7">
        <v>4</v>
      </c>
      <c r="F9" s="7">
        <v>17</v>
      </c>
      <c r="G9" s="12">
        <f t="shared" si="1"/>
        <v>24070.796460177</v>
      </c>
    </row>
    <row r="10" ht="20" customHeight="1" spans="1:7">
      <c r="A10" s="8"/>
      <c r="B10" s="13" t="s">
        <v>124</v>
      </c>
      <c r="C10" s="14"/>
      <c r="D10" s="14"/>
      <c r="E10" s="14"/>
      <c r="F10" s="14"/>
      <c r="G10" s="15">
        <f>G3+G4+G5+G6+G7+G8+G9</f>
        <v>96283.185840708</v>
      </c>
    </row>
    <row r="11" ht="20" customHeight="1" spans="1:7">
      <c r="A11" s="8" t="s">
        <v>627</v>
      </c>
      <c r="B11" s="7" t="s">
        <v>618</v>
      </c>
      <c r="C11" s="7" t="s">
        <v>619</v>
      </c>
      <c r="D11" s="12">
        <f t="shared" ref="D11:D22" si="2">400/1.13</f>
        <v>353.982300884956</v>
      </c>
      <c r="E11" s="7">
        <v>2</v>
      </c>
      <c r="F11" s="7">
        <v>7</v>
      </c>
      <c r="G11" s="12">
        <f>D11*E11*F11</f>
        <v>4955.75221238938</v>
      </c>
    </row>
    <row r="12" ht="20" customHeight="1" spans="1:7">
      <c r="A12" s="8"/>
      <c r="B12" s="7" t="s">
        <v>620</v>
      </c>
      <c r="C12" s="7" t="s">
        <v>619</v>
      </c>
      <c r="D12" s="12">
        <f t="shared" si="2"/>
        <v>353.982300884956</v>
      </c>
      <c r="E12" s="7">
        <v>2</v>
      </c>
      <c r="F12" s="7">
        <v>7</v>
      </c>
      <c r="G12" s="12">
        <f t="shared" ref="G12:G22" si="3">D12*E12*F12</f>
        <v>4955.75221238938</v>
      </c>
    </row>
    <row r="13" ht="20" customHeight="1" spans="1:7">
      <c r="A13" s="8"/>
      <c r="B13" s="7" t="s">
        <v>621</v>
      </c>
      <c r="C13" s="7" t="s">
        <v>619</v>
      </c>
      <c r="D13" s="12">
        <f t="shared" si="2"/>
        <v>353.982300884956</v>
      </c>
      <c r="E13" s="7">
        <v>2</v>
      </c>
      <c r="F13" s="7">
        <v>7</v>
      </c>
      <c r="G13" s="12">
        <f t="shared" si="3"/>
        <v>4955.75221238938</v>
      </c>
    </row>
    <row r="14" ht="20" customHeight="1" spans="1:7">
      <c r="A14" s="8"/>
      <c r="B14" s="7" t="s">
        <v>622</v>
      </c>
      <c r="C14" s="7" t="s">
        <v>619</v>
      </c>
      <c r="D14" s="12">
        <f t="shared" si="2"/>
        <v>353.982300884956</v>
      </c>
      <c r="E14" s="7">
        <v>2</v>
      </c>
      <c r="F14" s="7">
        <v>7</v>
      </c>
      <c r="G14" s="12">
        <f t="shared" si="3"/>
        <v>4955.75221238938</v>
      </c>
    </row>
    <row r="15" ht="20" customHeight="1" spans="1:7">
      <c r="A15" s="8"/>
      <c r="B15" s="7" t="s">
        <v>623</v>
      </c>
      <c r="C15" s="7" t="s">
        <v>619</v>
      </c>
      <c r="D15" s="12">
        <f t="shared" si="2"/>
        <v>353.982300884956</v>
      </c>
      <c r="E15" s="7">
        <v>2</v>
      </c>
      <c r="F15" s="7">
        <v>7</v>
      </c>
      <c r="G15" s="12">
        <f t="shared" si="3"/>
        <v>4955.75221238938</v>
      </c>
    </row>
    <row r="16" ht="20" customHeight="1" spans="1:7">
      <c r="A16" s="8"/>
      <c r="B16" s="7" t="s">
        <v>624</v>
      </c>
      <c r="C16" s="7" t="s">
        <v>619</v>
      </c>
      <c r="D16" s="12">
        <f t="shared" si="2"/>
        <v>353.982300884956</v>
      </c>
      <c r="E16" s="7">
        <v>2</v>
      </c>
      <c r="F16" s="7">
        <v>7</v>
      </c>
      <c r="G16" s="12">
        <f t="shared" si="3"/>
        <v>4955.75221238938</v>
      </c>
    </row>
    <row r="17" ht="20" customHeight="1" spans="1:7">
      <c r="A17" s="8"/>
      <c r="B17" s="7" t="s">
        <v>628</v>
      </c>
      <c r="C17" s="7" t="s">
        <v>619</v>
      </c>
      <c r="D17" s="12">
        <f t="shared" si="2"/>
        <v>353.982300884956</v>
      </c>
      <c r="E17" s="7">
        <v>2</v>
      </c>
      <c r="F17" s="7">
        <v>7</v>
      </c>
      <c r="G17" s="12">
        <f t="shared" si="3"/>
        <v>4955.75221238938</v>
      </c>
    </row>
    <row r="18" ht="20" customHeight="1" spans="1:7">
      <c r="A18" s="8"/>
      <c r="B18" s="7" t="s">
        <v>629</v>
      </c>
      <c r="C18" s="7" t="s">
        <v>619</v>
      </c>
      <c r="D18" s="12">
        <f t="shared" si="2"/>
        <v>353.982300884956</v>
      </c>
      <c r="E18" s="7">
        <v>2</v>
      </c>
      <c r="F18" s="7">
        <v>7</v>
      </c>
      <c r="G18" s="12">
        <f t="shared" si="3"/>
        <v>4955.75221238938</v>
      </c>
    </row>
    <row r="19" ht="20" customHeight="1" spans="1:7">
      <c r="A19" s="8"/>
      <c r="B19" s="7" t="s">
        <v>630</v>
      </c>
      <c r="C19" s="7" t="s">
        <v>619</v>
      </c>
      <c r="D19" s="12">
        <f t="shared" si="2"/>
        <v>353.982300884956</v>
      </c>
      <c r="E19" s="7">
        <v>2</v>
      </c>
      <c r="F19" s="7">
        <v>7</v>
      </c>
      <c r="G19" s="12">
        <f t="shared" si="3"/>
        <v>4955.75221238938</v>
      </c>
    </row>
    <row r="20" ht="20" customHeight="1" spans="1:7">
      <c r="A20" s="8"/>
      <c r="B20" s="7" t="s">
        <v>631</v>
      </c>
      <c r="C20" s="7" t="s">
        <v>619</v>
      </c>
      <c r="D20" s="12">
        <f t="shared" si="2"/>
        <v>353.982300884956</v>
      </c>
      <c r="E20" s="7">
        <v>2</v>
      </c>
      <c r="F20" s="7">
        <v>7</v>
      </c>
      <c r="G20" s="12">
        <f t="shared" si="3"/>
        <v>4955.75221238938</v>
      </c>
    </row>
    <row r="21" ht="20" customHeight="1" spans="1:7">
      <c r="A21" s="8"/>
      <c r="B21" s="7" t="s">
        <v>632</v>
      </c>
      <c r="C21" s="7" t="s">
        <v>619</v>
      </c>
      <c r="D21" s="12">
        <f t="shared" si="2"/>
        <v>353.982300884956</v>
      </c>
      <c r="E21" s="7">
        <v>2</v>
      </c>
      <c r="F21" s="7">
        <v>7</v>
      </c>
      <c r="G21" s="12">
        <f t="shared" si="3"/>
        <v>4955.75221238938</v>
      </c>
    </row>
    <row r="22" ht="20" customHeight="1" spans="1:7">
      <c r="A22" s="8"/>
      <c r="B22" s="7" t="s">
        <v>633</v>
      </c>
      <c r="C22" s="7" t="s">
        <v>634</v>
      </c>
      <c r="D22" s="12">
        <f t="shared" si="2"/>
        <v>353.982300884956</v>
      </c>
      <c r="E22" s="7">
        <v>3</v>
      </c>
      <c r="F22" s="7">
        <v>7</v>
      </c>
      <c r="G22" s="12">
        <f t="shared" si="3"/>
        <v>7433.62831858407</v>
      </c>
    </row>
    <row r="23" ht="20" customHeight="1" spans="1:7">
      <c r="A23" s="8"/>
      <c r="B23" s="13" t="s">
        <v>124</v>
      </c>
      <c r="C23" s="14"/>
      <c r="D23" s="14"/>
      <c r="E23" s="14"/>
      <c r="F23" s="14"/>
      <c r="G23" s="15">
        <f>G11+G12+G13+G14+G15+G16+G17+G18+G19+G20++G21+G22</f>
        <v>61946.9026548673</v>
      </c>
    </row>
    <row r="24" ht="20" customHeight="1" spans="1:7">
      <c r="A24" s="8" t="s">
        <v>635</v>
      </c>
      <c r="B24" s="8"/>
      <c r="C24" s="14"/>
      <c r="D24" s="14"/>
      <c r="E24" s="14"/>
      <c r="F24" s="14"/>
      <c r="G24" s="15">
        <f>(G10+G23)*0.13</f>
        <v>20569.9115044248</v>
      </c>
    </row>
    <row r="25" ht="32" customHeight="1" spans="1:7">
      <c r="A25" s="11" t="s">
        <v>514</v>
      </c>
      <c r="B25" s="11"/>
      <c r="C25" s="14"/>
      <c r="D25" s="14"/>
      <c r="E25" s="14"/>
      <c r="F25" s="14"/>
      <c r="G25" s="15">
        <f>G10+G23+G24</f>
        <v>178800</v>
      </c>
    </row>
  </sheetData>
  <mergeCells count="5">
    <mergeCell ref="A1:G1"/>
    <mergeCell ref="A24:B24"/>
    <mergeCell ref="A25:B25"/>
    <mergeCell ref="A3:A10"/>
    <mergeCell ref="A11:A2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view="pageBreakPreview" zoomScaleNormal="100" workbookViewId="0">
      <pane ySplit="2" topLeftCell="A3" activePane="bottomLeft" state="frozen"/>
      <selection/>
      <selection pane="bottomLeft" activeCell="H3" sqref="H3"/>
    </sheetView>
  </sheetViews>
  <sheetFormatPr defaultColWidth="9" defaultRowHeight="13.5" outlineLevelRow="3" outlineLevelCol="4"/>
  <cols>
    <col min="2" max="2" width="63.375" customWidth="1"/>
    <col min="3" max="3" width="6.875" style="1" customWidth="1"/>
    <col min="4" max="4" width="10.875" style="2" customWidth="1"/>
    <col min="5" max="5" width="7.875" customWidth="1"/>
  </cols>
  <sheetData>
    <row r="1" ht="27" customHeight="1" spans="1:5">
      <c r="B1" s="3" t="s">
        <v>636</v>
      </c>
      <c r="C1" s="4"/>
      <c r="D1" s="3"/>
    </row>
    <row r="2" ht="39" customHeight="1" spans="1:5">
      <c r="A2" s="5" t="s">
        <v>637</v>
      </c>
      <c r="B2" s="5" t="s">
        <v>638</v>
      </c>
      <c r="C2" s="5" t="s">
        <v>639</v>
      </c>
      <c r="D2" s="5" t="s">
        <v>640</v>
      </c>
      <c r="E2" s="5" t="s">
        <v>46</v>
      </c>
    </row>
    <row r="3" ht="318" customHeight="1" spans="1:5">
      <c r="A3" s="6" t="s">
        <v>641</v>
      </c>
      <c r="B3" s="7"/>
      <c r="C3" s="8" t="s">
        <v>642</v>
      </c>
      <c r="D3" s="9">
        <v>400</v>
      </c>
      <c r="E3" s="7"/>
    </row>
    <row r="4" ht="312" customHeight="1" spans="1:5">
      <c r="A4" s="6" t="s">
        <v>643</v>
      </c>
      <c r="B4" s="7"/>
      <c r="C4" s="8" t="s">
        <v>644</v>
      </c>
      <c r="D4" s="9">
        <v>950</v>
      </c>
      <c r="E4" s="6" t="s">
        <v>645</v>
      </c>
    </row>
  </sheetData>
  <mergeCells count="1">
    <mergeCell ref="B1:D1"/>
  </mergeCells>
  <pageMargins left="0.75" right="0.75" top="1" bottom="1" header="0.5" footer="0.5"/>
  <pageSetup paperSize="9" scale="88"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Zeros="0" view="pageBreakPreview" zoomScaleNormal="100" topLeftCell="A3" workbookViewId="0">
      <selection activeCell="C3" sqref="C3"/>
    </sheetView>
  </sheetViews>
  <sheetFormatPr defaultColWidth="9" defaultRowHeight="14.25" outlineLevelCol="7"/>
  <cols>
    <col min="1" max="1" width="100" style="55" customWidth="1"/>
    <col min="2" max="2" width="3.85833333333333" style="55" customWidth="1"/>
    <col min="3" max="3" width="36.7333333333333" style="55" customWidth="1"/>
    <col min="4" max="8" width="9" style="55" customWidth="1"/>
    <col min="9" max="16384" width="9" style="55"/>
  </cols>
  <sheetData>
    <row r="1" ht="51.95" customHeight="1" spans="1:8">
      <c r="A1" s="57" t="s">
        <v>12</v>
      </c>
      <c r="B1" s="58"/>
    </row>
    <row r="2" ht="123" customHeight="1" spans="1:8">
      <c r="A2" s="255" t="s">
        <v>13</v>
      </c>
      <c r="B2" s="58"/>
    </row>
    <row r="3" ht="191" customHeight="1" spans="1:8">
      <c r="A3" s="255" t="s">
        <v>14</v>
      </c>
      <c r="B3" s="58"/>
    </row>
    <row r="4" ht="79" customHeight="1" spans="1:8">
      <c r="A4" s="255" t="s">
        <v>15</v>
      </c>
      <c r="B4" s="58"/>
    </row>
    <row r="5" ht="36" spans="1:8">
      <c r="A5" s="256" t="s">
        <v>16</v>
      </c>
      <c r="B5" s="257"/>
      <c r="C5" s="258"/>
      <c r="D5" s="259"/>
      <c r="E5" s="259"/>
      <c r="F5" s="259"/>
      <c r="G5" s="259"/>
      <c r="H5" s="259"/>
    </row>
    <row r="6" ht="48" spans="1:8">
      <c r="A6" s="257" t="s">
        <v>17</v>
      </c>
      <c r="B6" s="257"/>
      <c r="C6" s="258"/>
      <c r="D6" s="259"/>
      <c r="E6" s="259"/>
      <c r="F6" s="259"/>
      <c r="G6" s="259"/>
      <c r="H6" s="259"/>
    </row>
    <row r="7" spans="1:8">
      <c r="A7" s="258" t="s">
        <v>18</v>
      </c>
      <c r="B7" s="257"/>
      <c r="C7" s="258"/>
      <c r="D7" s="259"/>
      <c r="E7" s="259"/>
      <c r="F7" s="259"/>
      <c r="G7" s="259"/>
      <c r="H7" s="259"/>
    </row>
    <row r="8" ht="33" customHeight="1" spans="1:8">
      <c r="A8" s="257" t="s">
        <v>19</v>
      </c>
      <c r="B8" s="257"/>
      <c r="C8" s="258"/>
      <c r="D8" s="259"/>
      <c r="E8" s="259"/>
      <c r="F8" s="259"/>
      <c r="G8" s="259"/>
      <c r="H8" s="259"/>
    </row>
    <row r="9" ht="21.95" customHeight="1" spans="1:8">
      <c r="A9" s="257" t="s">
        <v>20</v>
      </c>
      <c r="B9" s="257"/>
      <c r="C9" s="258"/>
      <c r="D9" s="259"/>
      <c r="E9" s="259"/>
      <c r="F9" s="259"/>
      <c r="G9" s="259"/>
      <c r="H9" s="259"/>
    </row>
    <row r="10" ht="24" spans="1:8">
      <c r="A10" s="260" t="s">
        <v>21</v>
      </c>
      <c r="B10" s="257"/>
      <c r="C10" s="258"/>
      <c r="D10" s="259"/>
      <c r="E10" s="259"/>
      <c r="F10" s="259"/>
      <c r="G10" s="259"/>
      <c r="H10" s="259"/>
    </row>
    <row r="11" ht="24" customHeight="1" spans="1:8">
      <c r="A11" s="257" t="s">
        <v>22</v>
      </c>
      <c r="B11" s="257"/>
      <c r="C11" s="258"/>
      <c r="D11" s="259"/>
      <c r="E11" s="259"/>
      <c r="F11" s="259"/>
      <c r="G11" s="259"/>
      <c r="H11" s="259"/>
    </row>
    <row r="12" ht="24" customHeight="1" spans="1:8">
      <c r="A12" s="257" t="s">
        <v>23</v>
      </c>
      <c r="B12" s="257"/>
      <c r="C12" s="258"/>
      <c r="D12" s="259"/>
      <c r="E12" s="259"/>
      <c r="F12" s="259"/>
      <c r="G12" s="259"/>
      <c r="H12" s="259"/>
    </row>
    <row r="13" ht="89" customHeight="1" spans="1:8">
      <c r="A13" s="261" t="s">
        <v>24</v>
      </c>
      <c r="B13" s="257"/>
      <c r="C13" s="258"/>
      <c r="D13" s="259"/>
      <c r="E13" s="259"/>
      <c r="F13" s="259"/>
      <c r="G13" s="259"/>
      <c r="H13" s="259"/>
    </row>
    <row r="14" spans="1:8">
      <c r="A14" s="262" t="s">
        <v>25</v>
      </c>
      <c r="B14" s="257"/>
      <c r="C14" s="258"/>
      <c r="D14" s="259"/>
      <c r="E14" s="259"/>
      <c r="F14" s="259"/>
      <c r="G14" s="259"/>
      <c r="H14" s="259"/>
    </row>
    <row r="15" ht="84" spans="1:8">
      <c r="A15" s="263" t="s">
        <v>26</v>
      </c>
      <c r="B15" s="257"/>
      <c r="C15" s="258"/>
      <c r="D15" s="259"/>
      <c r="E15" s="259"/>
      <c r="F15" s="259"/>
      <c r="G15" s="259"/>
      <c r="H15" s="259"/>
    </row>
    <row r="16" spans="1:8">
      <c r="A16" s="257" t="s">
        <v>27</v>
      </c>
      <c r="B16" s="257"/>
      <c r="C16" s="258"/>
      <c r="D16" s="259"/>
      <c r="E16" s="259"/>
      <c r="F16" s="259"/>
      <c r="G16" s="259"/>
      <c r="H16" s="259"/>
    </row>
    <row r="17" spans="1:8">
      <c r="A17" s="257" t="s">
        <v>28</v>
      </c>
      <c r="B17" s="257"/>
      <c r="C17" s="258"/>
      <c r="D17" s="259"/>
      <c r="E17" s="259"/>
      <c r="F17" s="259"/>
      <c r="G17" s="259"/>
      <c r="H17" s="259"/>
    </row>
    <row r="18" spans="1:8">
      <c r="A18" s="257" t="s">
        <v>29</v>
      </c>
      <c r="B18" s="257"/>
      <c r="C18" s="258"/>
      <c r="D18" s="259"/>
      <c r="E18" s="259"/>
      <c r="F18" s="259"/>
      <c r="G18" s="259"/>
      <c r="H18" s="259"/>
    </row>
    <row r="19" ht="36" customHeight="1" spans="1:8">
      <c r="A19" s="257" t="s">
        <v>30</v>
      </c>
      <c r="B19" s="257"/>
      <c r="C19" s="258"/>
      <c r="D19" s="259"/>
      <c r="E19" s="259"/>
      <c r="F19" s="259"/>
      <c r="G19" s="259"/>
      <c r="H19" s="259"/>
    </row>
    <row r="20" ht="27.75" customHeight="1" spans="1:8">
      <c r="A20" s="264" t="s">
        <v>31</v>
      </c>
      <c r="B20" s="264"/>
      <c r="C20" s="265"/>
      <c r="D20" s="266"/>
      <c r="E20" s="266"/>
      <c r="F20" s="266"/>
      <c r="G20" s="266"/>
      <c r="H20" s="266"/>
    </row>
    <row r="21" ht="24" spans="1:8">
      <c r="A21" s="267" t="s">
        <v>32</v>
      </c>
      <c r="B21" s="257"/>
      <c r="C21" s="258"/>
      <c r="D21" s="259"/>
      <c r="E21" s="259"/>
      <c r="F21" s="259"/>
      <c r="G21" s="259"/>
      <c r="H21" s="259"/>
    </row>
    <row r="22" ht="24" spans="1:8">
      <c r="A22" s="267" t="s">
        <v>33</v>
      </c>
      <c r="B22" s="257"/>
      <c r="C22" s="258"/>
      <c r="D22" s="259"/>
      <c r="E22" s="259"/>
      <c r="F22" s="259"/>
      <c r="G22" s="259"/>
      <c r="H22" s="259"/>
    </row>
    <row r="23" spans="1:8">
      <c r="A23" s="268" t="s">
        <v>34</v>
      </c>
      <c r="B23" s="257"/>
      <c r="C23" s="258"/>
      <c r="D23" s="259"/>
      <c r="E23" s="259"/>
      <c r="F23" s="259"/>
      <c r="G23" s="259"/>
      <c r="H23" s="259"/>
    </row>
    <row r="24" ht="54.95" customHeight="1" spans="1:8">
      <c r="A24" s="269" t="s">
        <v>35</v>
      </c>
      <c r="B24" s="257"/>
      <c r="C24" s="258"/>
      <c r="D24" s="259"/>
      <c r="E24" s="259"/>
      <c r="F24" s="259"/>
      <c r="G24" s="259"/>
      <c r="H24" s="259"/>
    </row>
    <row r="25" ht="54.95" customHeight="1" spans="1:8">
      <c r="A25" s="269" t="s">
        <v>36</v>
      </c>
      <c r="B25" s="270"/>
      <c r="C25" s="271"/>
      <c r="D25" s="259"/>
      <c r="E25" s="259"/>
      <c r="F25" s="259"/>
      <c r="G25" s="259"/>
      <c r="H25" s="259"/>
    </row>
    <row r="26" ht="24.95" customHeight="1" spans="1:8">
      <c r="A26" s="269" t="s">
        <v>37</v>
      </c>
      <c r="B26" s="270"/>
      <c r="C26" s="271"/>
      <c r="D26" s="259"/>
      <c r="E26" s="259"/>
      <c r="F26" s="259"/>
      <c r="G26" s="259"/>
      <c r="H26" s="259"/>
    </row>
    <row r="27" ht="24" customHeight="1" spans="1:8">
      <c r="A27" s="269" t="s">
        <v>38</v>
      </c>
      <c r="B27" s="270"/>
      <c r="C27" s="271"/>
      <c r="D27" s="259"/>
      <c r="E27" s="259"/>
      <c r="F27" s="259"/>
      <c r="G27" s="259"/>
      <c r="H27" s="259"/>
    </row>
    <row r="28" ht="33" customHeight="1" spans="1:8">
      <c r="A28" s="272" t="s">
        <v>39</v>
      </c>
      <c r="B28" s="270"/>
      <c r="C28" s="271"/>
      <c r="D28" s="273"/>
      <c r="E28" s="273"/>
      <c r="F28" s="273"/>
      <c r="G28" s="273"/>
      <c r="H28" s="273"/>
    </row>
    <row r="29" ht="30" customHeight="1" spans="1:8">
      <c r="A29" s="272" t="s">
        <v>40</v>
      </c>
      <c r="B29" s="270"/>
      <c r="C29" s="271"/>
      <c r="D29" s="273"/>
      <c r="E29" s="273"/>
      <c r="F29" s="273"/>
      <c r="G29" s="273"/>
      <c r="H29" s="273"/>
    </row>
    <row r="30" ht="33" customHeight="1" spans="1:8">
      <c r="A30" s="272" t="s">
        <v>41</v>
      </c>
      <c r="B30" s="270"/>
      <c r="C30" s="271"/>
      <c r="D30" s="273"/>
      <c r="E30" s="273"/>
      <c r="F30" s="273"/>
      <c r="G30" s="273"/>
      <c r="H30" s="273"/>
    </row>
  </sheetData>
  <sheetProtection formatCells="0" formatColumns="0" formatRows="0" insertRows="0" insertColumns="0" insertHyperlinks="0" deleteColumns="0" deleteRows="0" sort="0" autoFilter="0" pivotTables="0"/>
  <printOptions horizontalCentered="1"/>
  <pageMargins left="0.393055555555556" right="0.393055555555556" top="0.590277777777778" bottom="0.590277777777778" header="0.313888888888889" footer="0.313888888888889"/>
  <pageSetup paperSize="9" scale="97" fitToHeight="0" orientation="portrait" blackAndWhite="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view="pageBreakPreview" zoomScaleNormal="100" workbookViewId="0">
      <selection activeCell="D12" sqref="D12"/>
    </sheetView>
  </sheetViews>
  <sheetFormatPr defaultColWidth="9" defaultRowHeight="13.5"/>
  <cols>
    <col min="1" max="1" width="6.625" customWidth="1"/>
    <col min="2" max="2" width="33.5" style="2" customWidth="1"/>
    <col min="3" max="3" width="25" customWidth="1"/>
    <col min="4" max="4" width="48.375" customWidth="1"/>
  </cols>
  <sheetData>
    <row r="1" s="228" customFormat="1" ht="30" customHeight="1" spans="1:10">
      <c r="A1" s="232" t="s">
        <v>42</v>
      </c>
      <c r="B1" s="233"/>
      <c r="C1" s="233"/>
      <c r="D1" s="233"/>
      <c r="E1" s="234"/>
      <c r="F1" s="234"/>
      <c r="G1" s="234"/>
      <c r="H1" s="234"/>
      <c r="I1" s="234"/>
      <c r="J1" s="234"/>
    </row>
    <row r="2" s="228" customFormat="1" ht="30" customHeight="1" spans="1:10">
      <c r="A2" s="235" t="s">
        <v>43</v>
      </c>
      <c r="B2" s="235" t="s">
        <v>44</v>
      </c>
      <c r="C2" s="236" t="s">
        <v>45</v>
      </c>
      <c r="D2" s="237" t="s">
        <v>46</v>
      </c>
      <c r="E2" s="234"/>
      <c r="F2" s="234"/>
      <c r="G2" s="234"/>
      <c r="H2" s="234"/>
      <c r="I2" s="234"/>
      <c r="J2" s="234"/>
    </row>
    <row r="3" s="229" customFormat="1" ht="30" customHeight="1" spans="1:10">
      <c r="A3" s="238" t="s">
        <v>47</v>
      </c>
      <c r="B3" s="239" t="s">
        <v>48</v>
      </c>
      <c r="C3" s="240">
        <f>清单明细一!G15</f>
        <v>250656.95</v>
      </c>
      <c r="D3" s="241"/>
      <c r="E3" s="242"/>
      <c r="F3" s="242"/>
      <c r="G3" s="243"/>
      <c r="H3" s="242"/>
      <c r="I3" s="242"/>
      <c r="J3" s="244"/>
    </row>
    <row r="4" s="229" customFormat="1" ht="30" customHeight="1" spans="1:10">
      <c r="A4" s="238" t="s">
        <v>49</v>
      </c>
      <c r="B4" s="238" t="s">
        <v>50</v>
      </c>
      <c r="C4" s="240">
        <f>清单明细一!G25</f>
        <v>278065</v>
      </c>
      <c r="D4" s="241"/>
      <c r="E4" s="242"/>
      <c r="F4" s="242"/>
      <c r="G4" s="243"/>
      <c r="H4" s="242"/>
      <c r="I4" s="242"/>
      <c r="J4" s="244"/>
    </row>
    <row r="5" s="229" customFormat="1" ht="30" customHeight="1" spans="1:10">
      <c r="A5" s="238" t="s">
        <v>51</v>
      </c>
      <c r="B5" s="238" t="s">
        <v>52</v>
      </c>
      <c r="C5" s="240">
        <f>清单明细一!G39</f>
        <v>40177.3</v>
      </c>
      <c r="D5" s="241"/>
      <c r="E5" s="242"/>
      <c r="F5" s="242"/>
      <c r="G5" s="243"/>
      <c r="H5" s="242"/>
      <c r="I5" s="242"/>
      <c r="J5" s="244"/>
    </row>
    <row r="6" s="229" customFormat="1" ht="30" customHeight="1" spans="1:10">
      <c r="A6" s="238" t="s">
        <v>53</v>
      </c>
      <c r="B6" s="238" t="s">
        <v>54</v>
      </c>
      <c r="C6" s="240">
        <f>清单明细一!G60</f>
        <v>266648.7</v>
      </c>
      <c r="D6" s="241"/>
      <c r="E6" s="242"/>
      <c r="F6" s="242"/>
      <c r="G6" s="243"/>
      <c r="H6" s="242"/>
      <c r="I6" s="242"/>
      <c r="J6" s="244"/>
    </row>
    <row r="7" s="229" customFormat="1" ht="30" customHeight="1" spans="1:10">
      <c r="A7" s="238" t="s">
        <v>55</v>
      </c>
      <c r="B7" s="238" t="s">
        <v>56</v>
      </c>
      <c r="C7" s="240">
        <f>清单明细一!G77</f>
        <v>158239.6</v>
      </c>
      <c r="D7" s="241"/>
      <c r="E7" s="242"/>
      <c r="F7" s="242"/>
      <c r="G7" s="243"/>
      <c r="H7" s="242"/>
      <c r="I7" s="242"/>
      <c r="J7" s="244"/>
    </row>
    <row r="8" s="229" customFormat="1" ht="30" customHeight="1" spans="1:10">
      <c r="A8" s="238" t="s">
        <v>57</v>
      </c>
      <c r="B8" s="238" t="s">
        <v>58</v>
      </c>
      <c r="C8" s="240">
        <f>清单明细一!G94</f>
        <v>465027.8</v>
      </c>
      <c r="D8" s="241"/>
      <c r="E8" s="242"/>
      <c r="F8" s="242"/>
      <c r="G8" s="243"/>
      <c r="H8" s="242"/>
      <c r="I8" s="242"/>
      <c r="J8" s="244"/>
    </row>
    <row r="9" s="229" customFormat="1" ht="30" customHeight="1" spans="1:10">
      <c r="A9" s="238" t="s">
        <v>59</v>
      </c>
      <c r="B9" s="238" t="s">
        <v>60</v>
      </c>
      <c r="C9" s="240">
        <f>清单明细一!G153</f>
        <v>496191.8</v>
      </c>
      <c r="D9" s="241"/>
      <c r="E9" s="242"/>
      <c r="F9" s="242"/>
      <c r="G9" s="243"/>
      <c r="H9" s="242"/>
      <c r="I9" s="242"/>
      <c r="J9" s="244"/>
    </row>
    <row r="10" s="229" customFormat="1" ht="30" customHeight="1" spans="1:10">
      <c r="A10" s="238" t="s">
        <v>61</v>
      </c>
      <c r="B10" s="238" t="s">
        <v>62</v>
      </c>
      <c r="C10" s="240">
        <f>清单明细一!G163</f>
        <v>85742.4</v>
      </c>
      <c r="D10" s="241" t="s">
        <v>63</v>
      </c>
      <c r="E10" s="242"/>
      <c r="F10" s="242"/>
      <c r="G10" s="243"/>
      <c r="H10" s="242"/>
      <c r="I10" s="242"/>
      <c r="J10" s="244"/>
    </row>
    <row r="11" s="229" customFormat="1" ht="30" customHeight="1" spans="1:10">
      <c r="A11" s="238" t="s">
        <v>64</v>
      </c>
      <c r="B11" s="238" t="s">
        <v>65</v>
      </c>
      <c r="C11" s="240">
        <f>清单明细一!G181</f>
        <v>321611.95</v>
      </c>
      <c r="D11" s="241"/>
      <c r="E11" s="242"/>
      <c r="F11" s="242"/>
      <c r="G11" s="243"/>
      <c r="H11" s="242"/>
      <c r="I11" s="242"/>
      <c r="J11" s="244"/>
    </row>
    <row r="12" s="229" customFormat="1" ht="30" customHeight="1" spans="1:10">
      <c r="A12" s="238" t="s">
        <v>66</v>
      </c>
      <c r="B12" s="238" t="s">
        <v>67</v>
      </c>
      <c r="C12" s="240">
        <f>清单明细一!G187</f>
        <v>63076</v>
      </c>
      <c r="D12" s="241"/>
      <c r="E12" s="242"/>
      <c r="F12" s="242"/>
      <c r="G12" s="243"/>
      <c r="H12" s="242"/>
      <c r="I12" s="242"/>
      <c r="J12" s="244"/>
    </row>
    <row r="13" s="229" customFormat="1" ht="30" customHeight="1" spans="1:10">
      <c r="A13" s="238" t="s">
        <v>68</v>
      </c>
      <c r="B13" s="238" t="s">
        <v>69</v>
      </c>
      <c r="C13" s="240">
        <f>清单明细一!G202</f>
        <v>178814.63</v>
      </c>
      <c r="D13" s="241"/>
      <c r="E13" s="242"/>
      <c r="F13" s="242"/>
      <c r="G13" s="243"/>
      <c r="H13" s="242"/>
      <c r="I13" s="242"/>
      <c r="J13" s="244"/>
    </row>
    <row r="14" s="229" customFormat="1" ht="30" customHeight="1" spans="1:10">
      <c r="A14" s="238" t="s">
        <v>70</v>
      </c>
      <c r="B14" s="238" t="s">
        <v>71</v>
      </c>
      <c r="C14" s="240">
        <f>清单明细二!F4</f>
        <v>60000</v>
      </c>
      <c r="D14" s="241"/>
      <c r="E14" s="242"/>
      <c r="F14" s="242"/>
      <c r="G14" s="243"/>
      <c r="H14" s="242"/>
      <c r="I14" s="242"/>
      <c r="J14" s="244"/>
    </row>
    <row r="15" s="229" customFormat="1" ht="30" customHeight="1" spans="1:10">
      <c r="A15" s="238" t="s">
        <v>72</v>
      </c>
      <c r="B15" s="238" t="s">
        <v>73</v>
      </c>
      <c r="C15" s="245">
        <v>0.09</v>
      </c>
      <c r="D15" s="241" t="s">
        <v>74</v>
      </c>
      <c r="E15" s="242"/>
      <c r="F15" s="242"/>
      <c r="G15" s="243"/>
      <c r="H15" s="242"/>
      <c r="I15" s="242"/>
      <c r="J15" s="244"/>
    </row>
    <row r="16" s="230" customFormat="1" ht="30" customHeight="1" spans="1:10">
      <c r="A16" s="246" t="s">
        <v>75</v>
      </c>
      <c r="B16" s="247"/>
      <c r="C16" s="248">
        <f>ROUND(SUM(C3:C14)*(1+C15),2)</f>
        <v>2904034.82</v>
      </c>
      <c r="D16" s="249"/>
      <c r="E16" s="250"/>
      <c r="F16" s="251"/>
      <c r="G16" s="250"/>
      <c r="H16" s="252"/>
    </row>
    <row r="19" s="231" customFormat="1" ht="15" spans="1:8">
      <c r="A19" s="253" t="s">
        <v>76</v>
      </c>
      <c r="D19" s="253" t="s">
        <v>77</v>
      </c>
      <c r="F19" s="254"/>
      <c r="G19" s="254"/>
      <c r="H19" s="254"/>
    </row>
  </sheetData>
  <sheetProtection formatCells="0" formatColumns="0" formatRows="0" insertRows="0" insertColumns="0" insertHyperlinks="0" deleteColumns="0" deleteRows="0" sort="0" autoFilter="0" pivotTables="0"/>
  <mergeCells count="2">
    <mergeCell ref="A1:D1"/>
    <mergeCell ref="A16:B16"/>
  </mergeCells>
  <pageMargins left="0.75" right="0.75" top="1" bottom="1" header="0.5" footer="0.5"/>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203"/>
  <sheetViews>
    <sheetView view="pageBreakPreview" zoomScaleNormal="100" workbookViewId="0">
      <pane ySplit="2" topLeftCell="A87" activePane="bottomLeft" state="frozen"/>
      <selection/>
      <selection pane="bottomLeft" activeCell="F91" sqref="F91"/>
    </sheetView>
  </sheetViews>
  <sheetFormatPr defaultColWidth="8" defaultRowHeight="11.25"/>
  <cols>
    <col min="1" max="1" width="4.85833333333333" style="111" customWidth="1"/>
    <col min="2" max="2" width="25" style="111" customWidth="1"/>
    <col min="3" max="3" width="26.1333333333333" style="111" customWidth="1"/>
    <col min="4" max="4" width="5.18333333333333" style="111" customWidth="1"/>
    <col min="5" max="5" width="7.00833333333333" style="112" customWidth="1"/>
    <col min="6" max="6" width="9.33333333333333" style="111" customWidth="1"/>
    <col min="7" max="7" width="16.5583333333333" style="113" customWidth="1"/>
    <col min="8" max="8" width="15" style="114" customWidth="1"/>
    <col min="9" max="9" width="8" style="109"/>
    <col min="10" max="10" width="13.75" style="115" customWidth="1"/>
    <col min="11" max="11" width="17.1333333333333" style="116" customWidth="1"/>
    <col min="12" max="13" width="10.3833333333333" style="115" customWidth="1"/>
    <col min="14" max="15" width="8" style="109"/>
    <col min="16" max="16" width="8" style="115"/>
    <col min="17" max="16384" width="8" style="109"/>
  </cols>
  <sheetData>
    <row r="1" s="109" customFormat="1" ht="30" customHeight="1" spans="1:16">
      <c r="A1" s="117" t="s">
        <v>78</v>
      </c>
      <c r="B1" s="118"/>
      <c r="C1" s="118"/>
      <c r="D1" s="119"/>
      <c r="E1" s="119"/>
      <c r="F1" s="118"/>
      <c r="G1" s="120"/>
      <c r="H1" s="121"/>
      <c r="J1" s="115"/>
      <c r="K1" s="116"/>
      <c r="L1" s="115"/>
      <c r="M1" s="115"/>
      <c r="P1" s="115"/>
    </row>
    <row r="2" s="109" customFormat="1" ht="30" customHeight="1" spans="1:16">
      <c r="A2" s="122" t="s">
        <v>43</v>
      </c>
      <c r="B2" s="122" t="s">
        <v>79</v>
      </c>
      <c r="C2" s="122" t="s">
        <v>80</v>
      </c>
      <c r="D2" s="123" t="s">
        <v>81</v>
      </c>
      <c r="E2" s="123" t="s">
        <v>82</v>
      </c>
      <c r="F2" s="122" t="s">
        <v>83</v>
      </c>
      <c r="G2" s="124" t="s">
        <v>84</v>
      </c>
      <c r="H2" s="125" t="s">
        <v>46</v>
      </c>
      <c r="J2" s="115"/>
      <c r="K2" s="116"/>
      <c r="L2" s="115"/>
      <c r="M2" s="115"/>
      <c r="P2" s="115"/>
    </row>
    <row r="3" s="109" customFormat="1" ht="21" customHeight="1" spans="1:16">
      <c r="A3" s="126" t="s">
        <v>85</v>
      </c>
      <c r="B3" s="126"/>
      <c r="C3" s="126"/>
      <c r="D3" s="126"/>
      <c r="E3" s="126"/>
      <c r="F3" s="126"/>
      <c r="G3" s="126"/>
      <c r="H3" s="126"/>
      <c r="J3" s="127" t="s">
        <v>86</v>
      </c>
      <c r="K3" s="128" t="s">
        <v>87</v>
      </c>
      <c r="L3" s="127" t="s">
        <v>88</v>
      </c>
      <c r="M3" s="127" t="s">
        <v>89</v>
      </c>
      <c r="N3" s="129"/>
      <c r="O3" s="129"/>
      <c r="P3" s="130" t="s">
        <v>90</v>
      </c>
    </row>
    <row r="4" s="109" customFormat="1" ht="108" outlineLevel="1" spans="1:16">
      <c r="A4" s="122">
        <v>1</v>
      </c>
      <c r="B4" s="131" t="s">
        <v>91</v>
      </c>
      <c r="C4" s="132" t="s">
        <v>92</v>
      </c>
      <c r="D4" s="123" t="s">
        <v>93</v>
      </c>
      <c r="E4" s="133">
        <v>400</v>
      </c>
      <c r="F4" s="134">
        <f>L4</f>
        <v>166.402</v>
      </c>
      <c r="G4" s="124">
        <f t="shared" ref="G4:G14" si="0">E4*F4</f>
        <v>66560.8</v>
      </c>
      <c r="H4" s="131" t="s">
        <v>94</v>
      </c>
      <c r="J4" s="127">
        <f>ROUND(308.86/1.09,2)</f>
        <v>283.36</v>
      </c>
      <c r="K4" s="135">
        <v>219.956666666667</v>
      </c>
      <c r="L4" s="130">
        <f>175.16*95%</f>
        <v>166.402</v>
      </c>
      <c r="M4" s="127">
        <v>109.19</v>
      </c>
      <c r="P4" s="115"/>
    </row>
    <row r="5" s="109" customFormat="1" ht="96" outlineLevel="1" spans="1:16">
      <c r="A5" s="122">
        <v>2</v>
      </c>
      <c r="B5" s="132" t="s">
        <v>95</v>
      </c>
      <c r="C5" s="132" t="s">
        <v>96</v>
      </c>
      <c r="D5" s="123" t="s">
        <v>93</v>
      </c>
      <c r="E5" s="136">
        <v>1</v>
      </c>
      <c r="F5" s="137">
        <f t="shared" ref="F5:F15" si="1">ROUND(AVERAGE(J5,K5,L5,M5),2)</f>
        <v>215.7</v>
      </c>
      <c r="G5" s="138">
        <f t="shared" si="0"/>
        <v>215.7</v>
      </c>
      <c r="H5" s="132" t="s">
        <v>97</v>
      </c>
      <c r="J5" s="127">
        <f>ROUND(63/1.09/0.15,2)</f>
        <v>385.32</v>
      </c>
      <c r="K5" s="135">
        <f>24.49/0.15</f>
        <v>163.266666666667</v>
      </c>
      <c r="L5" s="115">
        <f>160.67*95%</f>
        <v>152.6365</v>
      </c>
      <c r="M5" s="115">
        <v>161.57</v>
      </c>
      <c r="P5" s="115"/>
    </row>
    <row r="6" s="109" customFormat="1" ht="96" outlineLevel="1" spans="1:16">
      <c r="A6" s="122">
        <v>3</v>
      </c>
      <c r="B6" s="131" t="s">
        <v>98</v>
      </c>
      <c r="C6" s="132" t="s">
        <v>99</v>
      </c>
      <c r="D6" s="123" t="s">
        <v>100</v>
      </c>
      <c r="E6" s="136">
        <v>500</v>
      </c>
      <c r="F6" s="137">
        <f t="shared" si="1"/>
        <v>87.25</v>
      </c>
      <c r="G6" s="124">
        <f t="shared" si="0"/>
        <v>43625</v>
      </c>
      <c r="H6" s="139" t="s">
        <v>101</v>
      </c>
      <c r="J6" s="115"/>
      <c r="K6" s="116"/>
      <c r="L6" s="115">
        <f>159.07*95%</f>
        <v>151.1165</v>
      </c>
      <c r="M6" s="115">
        <v>23.39</v>
      </c>
      <c r="P6" s="115"/>
    </row>
    <row r="7" s="109" customFormat="1" ht="72" outlineLevel="1" spans="1:16">
      <c r="A7" s="122">
        <v>4</v>
      </c>
      <c r="B7" s="131" t="s">
        <v>102</v>
      </c>
      <c r="C7" s="131" t="s">
        <v>103</v>
      </c>
      <c r="D7" s="123" t="s">
        <v>100</v>
      </c>
      <c r="E7" s="136">
        <v>500</v>
      </c>
      <c r="F7" s="137">
        <f t="shared" si="1"/>
        <v>18.82</v>
      </c>
      <c r="G7" s="124">
        <f t="shared" si="0"/>
        <v>9410</v>
      </c>
      <c r="H7" s="131"/>
      <c r="J7" s="115"/>
      <c r="K7" s="116"/>
      <c r="L7" s="115">
        <f>15*95%</f>
        <v>14.25</v>
      </c>
      <c r="M7" s="115">
        <v>23.39</v>
      </c>
      <c r="P7" s="115"/>
    </row>
    <row r="8" s="110" customFormat="1" ht="108" outlineLevel="1" spans="1:16">
      <c r="A8" s="140">
        <v>5</v>
      </c>
      <c r="B8" s="141" t="s">
        <v>104</v>
      </c>
      <c r="C8" s="141" t="s">
        <v>105</v>
      </c>
      <c r="D8" s="142" t="s">
        <v>93</v>
      </c>
      <c r="E8" s="143">
        <v>200</v>
      </c>
      <c r="F8" s="144">
        <f>P8</f>
        <v>17.12</v>
      </c>
      <c r="G8" s="145">
        <f t="shared" si="0"/>
        <v>3424</v>
      </c>
      <c r="H8" s="141" t="s">
        <v>97</v>
      </c>
      <c r="J8" s="146">
        <f>ROUND(185/1.09,2)</f>
        <v>169.72</v>
      </c>
      <c r="K8" s="147"/>
      <c r="L8" s="148">
        <f>15*95%</f>
        <v>14.25</v>
      </c>
      <c r="M8" s="148"/>
      <c r="P8" s="148">
        <v>17.12</v>
      </c>
    </row>
    <row r="9" s="109" customFormat="1" ht="108" outlineLevel="1" spans="1:16">
      <c r="A9" s="122">
        <v>6</v>
      </c>
      <c r="B9" s="132" t="s">
        <v>106</v>
      </c>
      <c r="C9" s="132" t="s">
        <v>107</v>
      </c>
      <c r="D9" s="123" t="s">
        <v>100</v>
      </c>
      <c r="E9" s="133">
        <v>100</v>
      </c>
      <c r="F9" s="137">
        <f t="shared" si="1"/>
        <v>132.44</v>
      </c>
      <c r="G9" s="124">
        <f t="shared" si="0"/>
        <v>13244</v>
      </c>
      <c r="H9" s="131" t="s">
        <v>108</v>
      </c>
      <c r="J9" s="127">
        <f>ROUND(140/1.09,2)</f>
        <v>128.44</v>
      </c>
      <c r="K9" s="116"/>
      <c r="L9" s="115">
        <f>81.38*95%</f>
        <v>77.311</v>
      </c>
      <c r="M9" s="115">
        <v>191.58</v>
      </c>
      <c r="P9" s="115"/>
    </row>
    <row r="10" s="109" customFormat="1" ht="108" outlineLevel="1" spans="1:16">
      <c r="A10" s="122">
        <v>7</v>
      </c>
      <c r="B10" s="131" t="s">
        <v>109</v>
      </c>
      <c r="C10" s="132" t="s">
        <v>110</v>
      </c>
      <c r="D10" s="123" t="s">
        <v>93</v>
      </c>
      <c r="E10" s="133">
        <v>50</v>
      </c>
      <c r="F10" s="134">
        <f>L10</f>
        <v>240.597</v>
      </c>
      <c r="G10" s="124">
        <f t="shared" si="0"/>
        <v>12029.85</v>
      </c>
      <c r="H10" s="132" t="s">
        <v>111</v>
      </c>
      <c r="J10" s="115"/>
      <c r="K10" s="116">
        <v>540.226666666667</v>
      </c>
      <c r="L10" s="130">
        <f>253.26*95%</f>
        <v>240.597</v>
      </c>
      <c r="M10" s="115">
        <v>452.01</v>
      </c>
      <c r="P10" s="115"/>
    </row>
    <row r="11" s="109" customFormat="1" ht="120" outlineLevel="1" spans="1:16">
      <c r="A11" s="122">
        <v>8</v>
      </c>
      <c r="B11" s="131" t="s">
        <v>112</v>
      </c>
      <c r="C11" s="132" t="s">
        <v>113</v>
      </c>
      <c r="D11" s="123" t="s">
        <v>93</v>
      </c>
      <c r="E11" s="133">
        <v>200</v>
      </c>
      <c r="F11" s="134">
        <f>L11</f>
        <v>204.288</v>
      </c>
      <c r="G11" s="124">
        <f t="shared" si="0"/>
        <v>40857.6</v>
      </c>
      <c r="H11" s="131" t="s">
        <v>114</v>
      </c>
      <c r="J11" s="127">
        <f>ROUND(195/0.25/1.09,2)</f>
        <v>715.6</v>
      </c>
      <c r="K11" s="116">
        <v>568.8</v>
      </c>
      <c r="L11" s="130">
        <f>215.04*95%</f>
        <v>204.288</v>
      </c>
      <c r="M11" s="115">
        <v>459.68</v>
      </c>
      <c r="N11" s="149" t="s">
        <v>115</v>
      </c>
      <c r="P11" s="115"/>
    </row>
    <row r="12" s="109" customFormat="1" ht="72" outlineLevel="1" spans="1:16">
      <c r="A12" s="140">
        <v>9</v>
      </c>
      <c r="B12" s="141" t="s">
        <v>116</v>
      </c>
      <c r="C12" s="141" t="s">
        <v>117</v>
      </c>
      <c r="D12" s="142" t="s">
        <v>93</v>
      </c>
      <c r="E12" s="143">
        <v>200</v>
      </c>
      <c r="F12" s="144">
        <f>P12</f>
        <v>48.17</v>
      </c>
      <c r="G12" s="145">
        <f t="shared" si="0"/>
        <v>9634</v>
      </c>
      <c r="H12" s="141" t="s">
        <v>118</v>
      </c>
      <c r="J12" s="127">
        <f>ROUND(185/1.09,2)</f>
        <v>169.72</v>
      </c>
      <c r="K12" s="116"/>
      <c r="L12" s="115">
        <f>41.74*95%</f>
        <v>39.653</v>
      </c>
      <c r="M12" s="115"/>
      <c r="P12" s="115">
        <v>48.17</v>
      </c>
    </row>
    <row r="13" s="109" customFormat="1" ht="144" outlineLevel="1" spans="1:16">
      <c r="A13" s="122">
        <v>10</v>
      </c>
      <c r="B13" s="131" t="s">
        <v>119</v>
      </c>
      <c r="C13" s="132" t="s">
        <v>120</v>
      </c>
      <c r="D13" s="123" t="s">
        <v>93</v>
      </c>
      <c r="E13" s="133">
        <v>100</v>
      </c>
      <c r="F13" s="137">
        <f t="shared" si="1"/>
        <v>488.11</v>
      </c>
      <c r="G13" s="124">
        <f t="shared" si="0"/>
        <v>48811</v>
      </c>
      <c r="H13" s="131" t="s">
        <v>108</v>
      </c>
      <c r="J13" s="127">
        <f>ROUND(530/0.7/1.09,2)</f>
        <v>694.63</v>
      </c>
      <c r="K13" s="116"/>
      <c r="L13" s="115">
        <f>459.33*95%</f>
        <v>436.3635</v>
      </c>
      <c r="M13" s="115">
        <f>ROUND(200/0.6,2)</f>
        <v>333.33</v>
      </c>
      <c r="P13" s="115"/>
    </row>
    <row r="14" s="109" customFormat="1" ht="72" outlineLevel="1" spans="1:16">
      <c r="A14" s="122">
        <v>11</v>
      </c>
      <c r="B14" s="131" t="s">
        <v>121</v>
      </c>
      <c r="C14" s="131" t="s">
        <v>122</v>
      </c>
      <c r="D14" s="123" t="s">
        <v>100</v>
      </c>
      <c r="E14" s="133">
        <v>500</v>
      </c>
      <c r="F14" s="137">
        <f t="shared" si="1"/>
        <v>5.69</v>
      </c>
      <c r="G14" s="124">
        <f t="shared" si="0"/>
        <v>2845</v>
      </c>
      <c r="H14" s="131" t="s">
        <v>123</v>
      </c>
      <c r="J14" s="127">
        <f>ROUND(8.5/1.09,2)</f>
        <v>7.8</v>
      </c>
      <c r="K14" s="116"/>
      <c r="L14" s="115">
        <f>3.77*95%</f>
        <v>3.5815</v>
      </c>
      <c r="M14" s="115"/>
      <c r="P14" s="115"/>
    </row>
    <row r="15" s="109" customFormat="1" ht="13.5" outlineLevel="1" spans="1:16">
      <c r="A15" s="150" t="s">
        <v>124</v>
      </c>
      <c r="B15" s="150"/>
      <c r="C15" s="150"/>
      <c r="D15" s="150"/>
      <c r="E15" s="150"/>
      <c r="F15" s="150"/>
      <c r="G15" s="124">
        <f>SUM(G4:G14)</f>
        <v>250656.95</v>
      </c>
      <c r="H15" s="131"/>
      <c r="J15" s="115"/>
      <c r="K15" s="116"/>
      <c r="L15" s="115"/>
      <c r="M15" s="115"/>
      <c r="P15" s="115"/>
    </row>
    <row r="16" s="109" customFormat="1" ht="14.25" spans="1:16">
      <c r="A16" s="126" t="s">
        <v>125</v>
      </c>
      <c r="B16" s="126"/>
      <c r="C16" s="126"/>
      <c r="D16" s="126"/>
      <c r="E16" s="126"/>
      <c r="F16" s="126"/>
      <c r="G16" s="126"/>
      <c r="H16" s="126"/>
      <c r="J16" s="115"/>
      <c r="K16" s="116"/>
      <c r="L16" s="115"/>
      <c r="M16" s="115"/>
      <c r="P16" s="115"/>
    </row>
    <row r="17" s="109" customFormat="1" ht="96" outlineLevel="1" spans="1:16">
      <c r="A17" s="122">
        <v>12</v>
      </c>
      <c r="B17" s="131" t="s">
        <v>126</v>
      </c>
      <c r="C17" s="132" t="s">
        <v>127</v>
      </c>
      <c r="D17" s="123" t="s">
        <v>93</v>
      </c>
      <c r="E17" s="136">
        <v>1000</v>
      </c>
      <c r="F17" s="134">
        <f>L17</f>
        <v>37.7245</v>
      </c>
      <c r="G17" s="124">
        <f t="shared" ref="G17:G24" si="2">E17*F17</f>
        <v>37724.5</v>
      </c>
      <c r="H17" s="131" t="s">
        <v>128</v>
      </c>
      <c r="J17" s="127">
        <f t="shared" ref="J17:J19" si="3">ROUND(58/1.09,2)</f>
        <v>53.21</v>
      </c>
      <c r="K17" s="151">
        <v>55.308</v>
      </c>
      <c r="L17" s="130">
        <f>39.71*95%</f>
        <v>37.7245</v>
      </c>
      <c r="M17" s="115">
        <v>27.99</v>
      </c>
      <c r="P17" s="115"/>
    </row>
    <row r="18" s="109" customFormat="1" ht="96" outlineLevel="1" spans="1:16">
      <c r="A18" s="122">
        <v>13</v>
      </c>
      <c r="B18" s="131" t="s">
        <v>129</v>
      </c>
      <c r="C18" s="132" t="s">
        <v>127</v>
      </c>
      <c r="D18" s="123" t="s">
        <v>93</v>
      </c>
      <c r="E18" s="136">
        <v>1000</v>
      </c>
      <c r="F18" s="134">
        <f>L18</f>
        <v>23.6075</v>
      </c>
      <c r="G18" s="124">
        <f t="shared" si="2"/>
        <v>23607.5</v>
      </c>
      <c r="H18" s="131" t="s">
        <v>128</v>
      </c>
      <c r="J18" s="127">
        <f t="shared" si="3"/>
        <v>53.21</v>
      </c>
      <c r="K18" s="151">
        <v>55.308</v>
      </c>
      <c r="L18" s="130">
        <f>24.85*95%</f>
        <v>23.6075</v>
      </c>
      <c r="M18" s="115">
        <v>27.99</v>
      </c>
      <c r="P18" s="115"/>
    </row>
    <row r="19" s="109" customFormat="1" ht="108" outlineLevel="1" spans="1:16">
      <c r="A19" s="140">
        <v>14</v>
      </c>
      <c r="B19" s="141" t="s">
        <v>130</v>
      </c>
      <c r="C19" s="152" t="s">
        <v>131</v>
      </c>
      <c r="D19" s="142" t="s">
        <v>93</v>
      </c>
      <c r="E19" s="153">
        <v>1000</v>
      </c>
      <c r="F19" s="144">
        <f>P19</f>
        <v>40.55</v>
      </c>
      <c r="G19" s="145">
        <f t="shared" si="2"/>
        <v>40550</v>
      </c>
      <c r="H19" s="141" t="s">
        <v>128</v>
      </c>
      <c r="J19" s="127">
        <f t="shared" ref="J19:J24" si="4">ROUND(59/1.09,2)</f>
        <v>54.13</v>
      </c>
      <c r="K19" s="116">
        <v>42.22</v>
      </c>
      <c r="L19" s="115">
        <f>45.69*95%</f>
        <v>43.4055</v>
      </c>
      <c r="M19" s="115">
        <v>24.59</v>
      </c>
      <c r="P19" s="115">
        <v>40.55</v>
      </c>
    </row>
    <row r="20" s="109" customFormat="1" ht="96" outlineLevel="1" spans="1:16">
      <c r="A20" s="122">
        <v>15</v>
      </c>
      <c r="B20" s="131" t="s">
        <v>132</v>
      </c>
      <c r="C20" s="132" t="s">
        <v>133</v>
      </c>
      <c r="D20" s="123" t="s">
        <v>93</v>
      </c>
      <c r="E20" s="136">
        <v>1000</v>
      </c>
      <c r="F20" s="134">
        <f>L20</f>
        <v>26.3245</v>
      </c>
      <c r="G20" s="124">
        <f t="shared" si="2"/>
        <v>26324.5</v>
      </c>
      <c r="H20" s="131" t="s">
        <v>128</v>
      </c>
      <c r="J20" s="127">
        <f t="shared" si="4"/>
        <v>54.13</v>
      </c>
      <c r="K20" s="116">
        <v>42.22</v>
      </c>
      <c r="L20" s="130">
        <f>27.71*95%</f>
        <v>26.3245</v>
      </c>
      <c r="M20" s="115">
        <v>24.59</v>
      </c>
      <c r="P20" s="115"/>
    </row>
    <row r="21" s="109" customFormat="1" ht="84" outlineLevel="1" spans="1:16">
      <c r="A21" s="122">
        <v>16</v>
      </c>
      <c r="B21" s="131" t="s">
        <v>134</v>
      </c>
      <c r="C21" s="131" t="s">
        <v>135</v>
      </c>
      <c r="D21" s="123" t="s">
        <v>93</v>
      </c>
      <c r="E21" s="154">
        <v>1000</v>
      </c>
      <c r="F21" s="134">
        <f>F17</f>
        <v>37.7245</v>
      </c>
      <c r="G21" s="124">
        <f t="shared" si="2"/>
        <v>37724.5</v>
      </c>
      <c r="H21" s="131" t="s">
        <v>136</v>
      </c>
      <c r="J21" s="127">
        <f>ROUND(58/1.09,2)</f>
        <v>53.21</v>
      </c>
      <c r="K21" s="151">
        <v>55.308</v>
      </c>
      <c r="L21" s="115">
        <f>24.85*95%</f>
        <v>23.6075</v>
      </c>
      <c r="M21" s="115">
        <v>27.99</v>
      </c>
      <c r="P21" s="115"/>
    </row>
    <row r="22" s="109" customFormat="1" ht="84" outlineLevel="1" spans="1:16">
      <c r="A22" s="122">
        <v>17</v>
      </c>
      <c r="B22" s="131" t="s">
        <v>137</v>
      </c>
      <c r="C22" s="131" t="s">
        <v>135</v>
      </c>
      <c r="D22" s="123" t="s">
        <v>93</v>
      </c>
      <c r="E22" s="154">
        <v>1000</v>
      </c>
      <c r="F22" s="134">
        <f>F17</f>
        <v>37.7245</v>
      </c>
      <c r="G22" s="124">
        <f t="shared" si="2"/>
        <v>37724.5</v>
      </c>
      <c r="H22" s="131" t="s">
        <v>136</v>
      </c>
      <c r="J22" s="127">
        <f>ROUND(58/1.09,2)</f>
        <v>53.21</v>
      </c>
      <c r="K22" s="151">
        <v>55.308</v>
      </c>
      <c r="L22" s="115">
        <f>24.85*95%</f>
        <v>23.6075</v>
      </c>
      <c r="M22" s="115">
        <v>27.99</v>
      </c>
      <c r="P22" s="115"/>
    </row>
    <row r="23" s="109" customFormat="1" ht="108" outlineLevel="1" spans="1:16">
      <c r="A23" s="140">
        <v>18</v>
      </c>
      <c r="B23" s="141" t="s">
        <v>138</v>
      </c>
      <c r="C23" s="141" t="s">
        <v>139</v>
      </c>
      <c r="D23" s="142" t="s">
        <v>93</v>
      </c>
      <c r="E23" s="155">
        <v>1000</v>
      </c>
      <c r="F23" s="144">
        <f>P23</f>
        <v>44.76</v>
      </c>
      <c r="G23" s="145">
        <f t="shared" si="2"/>
        <v>44760</v>
      </c>
      <c r="H23" s="141" t="s">
        <v>136</v>
      </c>
      <c r="J23" s="127">
        <f t="shared" si="4"/>
        <v>54.13</v>
      </c>
      <c r="K23" s="116">
        <v>42.22</v>
      </c>
      <c r="L23" s="115">
        <f>45.69*95%</f>
        <v>43.4055</v>
      </c>
      <c r="M23" s="115">
        <v>27.99</v>
      </c>
      <c r="P23" s="115">
        <v>44.76</v>
      </c>
    </row>
    <row r="24" s="109" customFormat="1" ht="96" outlineLevel="1" spans="1:16">
      <c r="A24" s="122">
        <v>19</v>
      </c>
      <c r="B24" s="131" t="s">
        <v>140</v>
      </c>
      <c r="C24" s="131" t="s">
        <v>141</v>
      </c>
      <c r="D24" s="123" t="s">
        <v>93</v>
      </c>
      <c r="E24" s="154">
        <v>1000</v>
      </c>
      <c r="F24" s="134">
        <f>L24</f>
        <v>29.6495</v>
      </c>
      <c r="G24" s="124">
        <f t="shared" si="2"/>
        <v>29649.5</v>
      </c>
      <c r="H24" s="131" t="s">
        <v>136</v>
      </c>
      <c r="J24" s="127">
        <f t="shared" si="4"/>
        <v>54.13</v>
      </c>
      <c r="K24" s="116">
        <v>42.22</v>
      </c>
      <c r="L24" s="130">
        <f>31.21*95%</f>
        <v>29.6495</v>
      </c>
      <c r="M24" s="115">
        <v>27.99</v>
      </c>
      <c r="P24" s="115"/>
    </row>
    <row r="25" s="109" customFormat="1" ht="12" outlineLevel="1" spans="1:16">
      <c r="A25" s="122" t="s">
        <v>124</v>
      </c>
      <c r="B25" s="122"/>
      <c r="C25" s="122"/>
      <c r="D25" s="122"/>
      <c r="E25" s="122"/>
      <c r="F25" s="122"/>
      <c r="G25" s="124">
        <f>SUM(G17:G24)</f>
        <v>278065</v>
      </c>
      <c r="H25" s="131"/>
      <c r="J25" s="115"/>
      <c r="K25" s="116"/>
      <c r="L25" s="115"/>
      <c r="M25" s="115"/>
      <c r="P25" s="115"/>
    </row>
    <row r="26" s="109" customFormat="1" ht="14.25" spans="1:16">
      <c r="A26" s="126" t="s">
        <v>142</v>
      </c>
      <c r="B26" s="126"/>
      <c r="C26" s="126"/>
      <c r="D26" s="126"/>
      <c r="E26" s="126"/>
      <c r="F26" s="126"/>
      <c r="G26" s="126"/>
      <c r="H26" s="126"/>
      <c r="J26" s="115"/>
      <c r="K26" s="116"/>
      <c r="L26" s="115"/>
      <c r="M26" s="115"/>
      <c r="P26" s="115"/>
    </row>
    <row r="27" s="109" customFormat="1" ht="132" outlineLevel="1" spans="1:16">
      <c r="A27" s="122">
        <v>20</v>
      </c>
      <c r="B27" s="131" t="s">
        <v>143</v>
      </c>
      <c r="C27" s="131" t="s">
        <v>144</v>
      </c>
      <c r="D27" s="123" t="s">
        <v>145</v>
      </c>
      <c r="E27" s="133">
        <v>10</v>
      </c>
      <c r="F27" s="134">
        <v>1200</v>
      </c>
      <c r="G27" s="124">
        <f t="shared" ref="G27:G38" si="5">E27*F27</f>
        <v>12000</v>
      </c>
      <c r="H27" s="131" t="s">
        <v>146</v>
      </c>
      <c r="J27" s="115"/>
      <c r="K27" s="116"/>
      <c r="L27" s="115">
        <f>1212.61*95%</f>
        <v>1151.9795</v>
      </c>
      <c r="M27" s="115">
        <f>1603.05*0.9*2.1</f>
        <v>3029.7645</v>
      </c>
      <c r="P27" s="115"/>
    </row>
    <row r="28" s="109" customFormat="1" ht="96" outlineLevel="1" spans="1:16">
      <c r="A28" s="122">
        <v>21</v>
      </c>
      <c r="B28" s="131" t="s">
        <v>147</v>
      </c>
      <c r="C28" s="131" t="s">
        <v>148</v>
      </c>
      <c r="D28" s="156" t="s">
        <v>149</v>
      </c>
      <c r="E28" s="133">
        <v>50</v>
      </c>
      <c r="F28" s="137">
        <f t="shared" ref="F28:F38" si="6">ROUND(AVERAGE(J28,K28,L28,M28),2)</f>
        <v>14.95</v>
      </c>
      <c r="G28" s="124">
        <f t="shared" si="5"/>
        <v>747.5</v>
      </c>
      <c r="H28" s="131" t="s">
        <v>150</v>
      </c>
      <c r="J28" s="127">
        <f>ROUND(18/1.09,2)</f>
        <v>16.51</v>
      </c>
      <c r="K28" s="116"/>
      <c r="L28" s="115">
        <f>14.09*95%</f>
        <v>13.3855</v>
      </c>
      <c r="M28" s="115"/>
      <c r="P28" s="115"/>
    </row>
    <row r="29" s="109" customFormat="1" ht="96" outlineLevel="1" spans="1:16">
      <c r="A29" s="122">
        <v>22</v>
      </c>
      <c r="B29" s="131" t="s">
        <v>151</v>
      </c>
      <c r="C29" s="131" t="s">
        <v>152</v>
      </c>
      <c r="D29" s="123" t="s">
        <v>153</v>
      </c>
      <c r="E29" s="133">
        <v>50</v>
      </c>
      <c r="F29" s="137">
        <f t="shared" si="6"/>
        <v>17.7</v>
      </c>
      <c r="G29" s="124">
        <f t="shared" si="5"/>
        <v>885</v>
      </c>
      <c r="H29" s="131" t="s">
        <v>154</v>
      </c>
      <c r="J29" s="127">
        <f>ROUND(24/1.09,2)</f>
        <v>22.02</v>
      </c>
      <c r="K29" s="116"/>
      <c r="L29" s="115">
        <f>14.09*95%</f>
        <v>13.3855</v>
      </c>
      <c r="M29" s="115"/>
      <c r="P29" s="115"/>
    </row>
    <row r="30" s="109" customFormat="1" ht="96" outlineLevel="1" spans="1:16">
      <c r="A30" s="122">
        <v>23</v>
      </c>
      <c r="B30" s="131" t="s">
        <v>155</v>
      </c>
      <c r="C30" s="131" t="s">
        <v>156</v>
      </c>
      <c r="D30" s="123" t="s">
        <v>157</v>
      </c>
      <c r="E30" s="133">
        <v>50</v>
      </c>
      <c r="F30" s="137">
        <f t="shared" si="6"/>
        <v>51.39</v>
      </c>
      <c r="G30" s="124">
        <f t="shared" si="5"/>
        <v>2569.5</v>
      </c>
      <c r="H30" s="131" t="s">
        <v>158</v>
      </c>
      <c r="J30" s="127">
        <f>ROUND(95/1.09,2)</f>
        <v>87.16</v>
      </c>
      <c r="K30" s="116"/>
      <c r="L30" s="115">
        <f>16.45*95%</f>
        <v>15.6275</v>
      </c>
      <c r="M30" s="115"/>
      <c r="P30" s="115"/>
    </row>
    <row r="31" s="109" customFormat="1" ht="96" outlineLevel="1" spans="1:16">
      <c r="A31" s="122">
        <v>24</v>
      </c>
      <c r="B31" s="131" t="s">
        <v>159</v>
      </c>
      <c r="C31" s="131" t="s">
        <v>160</v>
      </c>
      <c r="D31" s="123" t="s">
        <v>161</v>
      </c>
      <c r="E31" s="133">
        <v>20</v>
      </c>
      <c r="F31" s="137">
        <f t="shared" si="6"/>
        <v>166.66</v>
      </c>
      <c r="G31" s="124">
        <f t="shared" si="5"/>
        <v>3333.2</v>
      </c>
      <c r="H31" s="131" t="s">
        <v>162</v>
      </c>
      <c r="J31" s="127">
        <f>ROUND(182/1.09,2)</f>
        <v>166.97</v>
      </c>
      <c r="K31" s="151">
        <v>229.483333333333</v>
      </c>
      <c r="L31" s="115">
        <f>108.99*95%</f>
        <v>103.5405</v>
      </c>
      <c r="M31" s="115"/>
      <c r="P31" s="115"/>
    </row>
    <row r="32" s="109" customFormat="1" ht="84" outlineLevel="1" spans="1:16">
      <c r="A32" s="140">
        <v>25</v>
      </c>
      <c r="B32" s="141" t="s">
        <v>163</v>
      </c>
      <c r="C32" s="157" t="s">
        <v>164</v>
      </c>
      <c r="D32" s="142" t="s">
        <v>100</v>
      </c>
      <c r="E32" s="143">
        <v>50</v>
      </c>
      <c r="F32" s="144">
        <f>P32</f>
        <v>5.32</v>
      </c>
      <c r="G32" s="145">
        <f t="shared" si="5"/>
        <v>266</v>
      </c>
      <c r="H32" s="141" t="s">
        <v>123</v>
      </c>
      <c r="J32" s="127">
        <f>ROUND(6/1.09,2)</f>
        <v>5.5</v>
      </c>
      <c r="K32" s="151">
        <f>256.37/((0.9+2.1)*2)</f>
        <v>42.7283333333333</v>
      </c>
      <c r="L32" s="115">
        <f>3.77*95%</f>
        <v>3.5815</v>
      </c>
      <c r="M32" s="115"/>
      <c r="P32" s="115">
        <v>5.32</v>
      </c>
    </row>
    <row r="33" s="109" customFormat="1" ht="132" outlineLevel="1" spans="1:16">
      <c r="A33" s="122">
        <v>26</v>
      </c>
      <c r="B33" s="131" t="s">
        <v>165</v>
      </c>
      <c r="C33" s="131" t="s">
        <v>166</v>
      </c>
      <c r="D33" s="123" t="s">
        <v>145</v>
      </c>
      <c r="E33" s="133">
        <v>5</v>
      </c>
      <c r="F33" s="134">
        <v>1600</v>
      </c>
      <c r="G33" s="124">
        <f t="shared" si="5"/>
        <v>8000</v>
      </c>
      <c r="H33" s="131" t="s">
        <v>146</v>
      </c>
      <c r="J33" s="127">
        <f>ROUND(5000/1.09,2)</f>
        <v>4587.16</v>
      </c>
      <c r="K33" s="116"/>
      <c r="L33" s="115">
        <f>1267.61*95%</f>
        <v>1204.2295</v>
      </c>
      <c r="M33" s="115">
        <f>1868.9*1*2.1</f>
        <v>3924.69</v>
      </c>
      <c r="P33" s="115"/>
    </row>
    <row r="34" s="109" customFormat="1" ht="84" outlineLevel="1" spans="1:16">
      <c r="A34" s="140">
        <v>27</v>
      </c>
      <c r="B34" s="141" t="s">
        <v>167</v>
      </c>
      <c r="C34" s="157" t="s">
        <v>168</v>
      </c>
      <c r="D34" s="158" t="s">
        <v>100</v>
      </c>
      <c r="E34" s="143">
        <v>50</v>
      </c>
      <c r="F34" s="144">
        <f>P34</f>
        <v>5.32</v>
      </c>
      <c r="G34" s="145">
        <f t="shared" si="5"/>
        <v>266</v>
      </c>
      <c r="H34" s="141" t="s">
        <v>123</v>
      </c>
      <c r="J34" s="127">
        <f>ROUND(6/1.09,2)</f>
        <v>5.5</v>
      </c>
      <c r="K34" s="151">
        <f>260.053333333333/((1+2.1)*2)</f>
        <v>41.9440860215053</v>
      </c>
      <c r="L34" s="115">
        <f>3.77*95%</f>
        <v>3.5815</v>
      </c>
      <c r="M34" s="151"/>
      <c r="P34" s="115">
        <v>5.32</v>
      </c>
    </row>
    <row r="35" s="109" customFormat="1" ht="96" outlineLevel="1" spans="1:16">
      <c r="A35" s="122">
        <v>28</v>
      </c>
      <c r="B35" s="131" t="s">
        <v>169</v>
      </c>
      <c r="C35" s="131" t="s">
        <v>148</v>
      </c>
      <c r="D35" s="156" t="s">
        <v>149</v>
      </c>
      <c r="E35" s="133">
        <v>50</v>
      </c>
      <c r="F35" s="137">
        <f t="shared" si="6"/>
        <v>14.95</v>
      </c>
      <c r="G35" s="124">
        <f t="shared" si="5"/>
        <v>747.5</v>
      </c>
      <c r="H35" s="131" t="s">
        <v>150</v>
      </c>
      <c r="J35" s="127">
        <f>ROUND(18/1.09,2)</f>
        <v>16.51</v>
      </c>
      <c r="K35" s="116"/>
      <c r="L35" s="115">
        <f>14.09*95%</f>
        <v>13.3855</v>
      </c>
      <c r="M35" s="115"/>
      <c r="P35" s="115"/>
    </row>
    <row r="36" s="109" customFormat="1" ht="96" outlineLevel="1" spans="1:16">
      <c r="A36" s="122">
        <v>29</v>
      </c>
      <c r="B36" s="131" t="s">
        <v>170</v>
      </c>
      <c r="C36" s="131" t="s">
        <v>171</v>
      </c>
      <c r="D36" s="156" t="s">
        <v>172</v>
      </c>
      <c r="E36" s="133">
        <v>50</v>
      </c>
      <c r="F36" s="137">
        <f t="shared" si="6"/>
        <v>35.59</v>
      </c>
      <c r="G36" s="124">
        <f t="shared" si="5"/>
        <v>1779.5</v>
      </c>
      <c r="H36" s="131" t="s">
        <v>173</v>
      </c>
      <c r="J36" s="127">
        <f>ROUND(63/1.09,2)</f>
        <v>57.8</v>
      </c>
      <c r="K36" s="116"/>
      <c r="L36" s="115">
        <f>14.09*95%</f>
        <v>13.3855</v>
      </c>
      <c r="M36" s="115"/>
      <c r="P36" s="115"/>
    </row>
    <row r="37" s="109" customFormat="1" ht="96" outlineLevel="1" spans="1:16">
      <c r="A37" s="122">
        <v>30</v>
      </c>
      <c r="B37" s="131" t="s">
        <v>174</v>
      </c>
      <c r="C37" s="131" t="s">
        <v>156</v>
      </c>
      <c r="D37" s="123" t="s">
        <v>157</v>
      </c>
      <c r="E37" s="133">
        <v>50</v>
      </c>
      <c r="F37" s="137">
        <f t="shared" si="6"/>
        <v>53.68</v>
      </c>
      <c r="G37" s="124">
        <f t="shared" si="5"/>
        <v>2684</v>
      </c>
      <c r="H37" s="131" t="s">
        <v>158</v>
      </c>
      <c r="J37" s="127">
        <f>ROUND(100/1.09,2)</f>
        <v>91.74</v>
      </c>
      <c r="K37" s="116"/>
      <c r="L37" s="115">
        <f>16.45*95%</f>
        <v>15.6275</v>
      </c>
      <c r="M37" s="115"/>
      <c r="P37" s="115"/>
    </row>
    <row r="38" s="109" customFormat="1" ht="96" outlineLevel="1" spans="1:16">
      <c r="A38" s="122">
        <v>31</v>
      </c>
      <c r="B38" s="131" t="s">
        <v>175</v>
      </c>
      <c r="C38" s="131" t="s">
        <v>160</v>
      </c>
      <c r="D38" s="123" t="s">
        <v>161</v>
      </c>
      <c r="E38" s="133">
        <v>30</v>
      </c>
      <c r="F38" s="137">
        <f t="shared" si="6"/>
        <v>229.97</v>
      </c>
      <c r="G38" s="124">
        <f t="shared" si="5"/>
        <v>6899.1</v>
      </c>
      <c r="H38" s="131" t="s">
        <v>162</v>
      </c>
      <c r="J38" s="127">
        <f>ROUND(320/1.09,2)</f>
        <v>293.58</v>
      </c>
      <c r="K38" s="151">
        <v>292.8</v>
      </c>
      <c r="L38" s="115">
        <f>108.99*95%</f>
        <v>103.5405</v>
      </c>
      <c r="M38" s="115"/>
      <c r="P38" s="115"/>
    </row>
    <row r="39" s="109" customFormat="1" ht="13.5" outlineLevel="1" spans="1:16">
      <c r="A39" s="150" t="s">
        <v>124</v>
      </c>
      <c r="B39" s="150"/>
      <c r="C39" s="150"/>
      <c r="D39" s="150"/>
      <c r="E39" s="150"/>
      <c r="F39" s="150"/>
      <c r="G39" s="159">
        <f>SUM(G27:G38)</f>
        <v>40177.3</v>
      </c>
      <c r="H39" s="150"/>
      <c r="J39" s="115"/>
      <c r="K39" s="116"/>
      <c r="L39" s="115"/>
      <c r="M39" s="115"/>
      <c r="P39" s="115"/>
    </row>
    <row r="40" s="109" customFormat="1" ht="14.25" spans="1:16">
      <c r="A40" s="126" t="s">
        <v>176</v>
      </c>
      <c r="B40" s="126"/>
      <c r="C40" s="126"/>
      <c r="D40" s="126"/>
      <c r="E40" s="126"/>
      <c r="F40" s="126"/>
      <c r="G40" s="126"/>
      <c r="H40" s="126"/>
      <c r="J40" s="115"/>
      <c r="K40" s="116"/>
      <c r="L40" s="115"/>
      <c r="M40" s="115"/>
      <c r="P40" s="115"/>
    </row>
    <row r="41" s="109" customFormat="1" ht="96" outlineLevel="1" spans="1:16">
      <c r="A41" s="160">
        <v>32</v>
      </c>
      <c r="B41" s="131" t="s">
        <v>177</v>
      </c>
      <c r="C41" s="131" t="s">
        <v>178</v>
      </c>
      <c r="D41" s="123" t="s">
        <v>93</v>
      </c>
      <c r="E41" s="133">
        <v>50</v>
      </c>
      <c r="F41" s="137">
        <f>ROUND(AVERAGE(J41,K41,L41,M41),2)</f>
        <v>226.33</v>
      </c>
      <c r="G41" s="124">
        <f>E41*F41</f>
        <v>11316.5</v>
      </c>
      <c r="H41" s="131" t="s">
        <v>179</v>
      </c>
      <c r="J41" s="127">
        <f>ROUND(85/1.09,2)</f>
        <v>77.98</v>
      </c>
      <c r="K41" s="116"/>
      <c r="L41" s="115">
        <f>394.39*95%</f>
        <v>374.6705</v>
      </c>
      <c r="M41" s="115"/>
      <c r="P41" s="115"/>
    </row>
    <row r="42" s="109" customFormat="1" ht="96" outlineLevel="1" spans="1:16">
      <c r="A42" s="160">
        <v>33</v>
      </c>
      <c r="B42" s="161" t="s">
        <v>180</v>
      </c>
      <c r="C42" s="139" t="s">
        <v>181</v>
      </c>
      <c r="D42" s="156" t="s">
        <v>100</v>
      </c>
      <c r="E42" s="133">
        <v>100</v>
      </c>
      <c r="F42" s="137">
        <f>ROUND(AVERAGE(J42,K42,L42,M42),2)</f>
        <v>337.78</v>
      </c>
      <c r="G42" s="124">
        <f>E42*F42</f>
        <v>33778</v>
      </c>
      <c r="H42" s="139" t="s">
        <v>182</v>
      </c>
      <c r="I42" s="109"/>
      <c r="J42" s="127">
        <f>ROUND(230/1.09,2)</f>
        <v>211.01</v>
      </c>
      <c r="K42" s="151">
        <v>464.543333333333</v>
      </c>
      <c r="L42" s="115"/>
      <c r="M42" s="115"/>
      <c r="P42" s="115"/>
    </row>
    <row r="43" s="109" customFormat="1" ht="96" outlineLevel="1" spans="1:16">
      <c r="A43" s="142">
        <v>34</v>
      </c>
      <c r="B43" s="162" t="s">
        <v>183</v>
      </c>
      <c r="C43" s="163" t="s">
        <v>184</v>
      </c>
      <c r="D43" s="158" t="s">
        <v>100</v>
      </c>
      <c r="E43" s="143">
        <v>50</v>
      </c>
      <c r="F43" s="144">
        <f>P43</f>
        <v>444.88</v>
      </c>
      <c r="G43" s="164">
        <f>E43*F43</f>
        <v>22244</v>
      </c>
      <c r="H43" s="163" t="s">
        <v>185</v>
      </c>
      <c r="I43" s="109"/>
      <c r="J43" s="127">
        <f>ROUND(650/1.09,2)</f>
        <v>596.33</v>
      </c>
      <c r="K43" s="116"/>
      <c r="L43" s="115"/>
      <c r="M43" s="115">
        <v>986.64</v>
      </c>
      <c r="P43" s="115">
        <v>444.88</v>
      </c>
    </row>
    <row r="44" s="109" customFormat="1" ht="84" outlineLevel="1" spans="1:16">
      <c r="A44" s="160">
        <v>35</v>
      </c>
      <c r="B44" s="165" t="s">
        <v>186</v>
      </c>
      <c r="C44" s="165" t="s">
        <v>187</v>
      </c>
      <c r="D44" s="166" t="s">
        <v>188</v>
      </c>
      <c r="E44" s="167">
        <v>20</v>
      </c>
      <c r="F44" s="168">
        <v>1041.96</v>
      </c>
      <c r="G44" s="169">
        <f t="shared" ref="G44:G59" si="7">E44*F44</f>
        <v>20839.2</v>
      </c>
      <c r="H44" s="170" t="s">
        <v>189</v>
      </c>
      <c r="I44" s="171" t="s">
        <v>190</v>
      </c>
      <c r="J44" s="115"/>
      <c r="K44" s="116"/>
      <c r="L44" s="115"/>
      <c r="M44" s="115"/>
      <c r="P44" s="115"/>
    </row>
    <row r="45" s="109" customFormat="1" ht="96" outlineLevel="1" spans="1:16">
      <c r="A45" s="160">
        <v>36</v>
      </c>
      <c r="B45" s="165" t="s">
        <v>191</v>
      </c>
      <c r="C45" s="165" t="s">
        <v>192</v>
      </c>
      <c r="D45" s="166" t="s">
        <v>188</v>
      </c>
      <c r="E45" s="167">
        <v>50</v>
      </c>
      <c r="F45" s="168">
        <v>165</v>
      </c>
      <c r="G45" s="169">
        <f t="shared" si="7"/>
        <v>8250</v>
      </c>
      <c r="H45" s="170" t="s">
        <v>193</v>
      </c>
      <c r="I45" s="171" t="s">
        <v>194</v>
      </c>
      <c r="J45" s="115"/>
      <c r="K45" s="116"/>
      <c r="L45" s="115"/>
      <c r="M45" s="115"/>
      <c r="P45" s="115"/>
    </row>
    <row r="46" s="109" customFormat="1" ht="84" outlineLevel="1" spans="1:16">
      <c r="A46" s="160">
        <v>37</v>
      </c>
      <c r="B46" s="165" t="s">
        <v>195</v>
      </c>
      <c r="C46" s="165" t="s">
        <v>196</v>
      </c>
      <c r="D46" s="166" t="s">
        <v>188</v>
      </c>
      <c r="E46" s="167">
        <v>50</v>
      </c>
      <c r="F46" s="168">
        <v>25.26</v>
      </c>
      <c r="G46" s="169">
        <f t="shared" si="7"/>
        <v>1263</v>
      </c>
      <c r="H46" s="170" t="s">
        <v>197</v>
      </c>
      <c r="I46" s="171" t="s">
        <v>190</v>
      </c>
      <c r="J46" s="115"/>
      <c r="K46" s="116"/>
      <c r="L46" s="115"/>
      <c r="M46" s="115"/>
      <c r="P46" s="115"/>
    </row>
    <row r="47" s="109" customFormat="1" ht="84" outlineLevel="1" spans="1:16">
      <c r="A47" s="160">
        <v>38</v>
      </c>
      <c r="B47" s="165" t="s">
        <v>198</v>
      </c>
      <c r="C47" s="165" t="s">
        <v>199</v>
      </c>
      <c r="D47" s="166" t="s">
        <v>188</v>
      </c>
      <c r="E47" s="167">
        <v>50</v>
      </c>
      <c r="F47" s="168">
        <f>54.23+130.8</f>
        <v>185.03</v>
      </c>
      <c r="G47" s="169">
        <f t="shared" si="7"/>
        <v>9251.5</v>
      </c>
      <c r="H47" s="170" t="s">
        <v>200</v>
      </c>
      <c r="I47" s="171" t="s">
        <v>190</v>
      </c>
      <c r="J47" s="115"/>
      <c r="K47" s="116"/>
      <c r="L47" s="115"/>
      <c r="M47" s="115"/>
      <c r="P47" s="115"/>
    </row>
    <row r="48" s="109" customFormat="1" ht="84" outlineLevel="1" spans="1:16">
      <c r="A48" s="160">
        <v>39</v>
      </c>
      <c r="B48" s="165" t="s">
        <v>201</v>
      </c>
      <c r="C48" s="165" t="s">
        <v>202</v>
      </c>
      <c r="D48" s="166" t="s">
        <v>188</v>
      </c>
      <c r="E48" s="167">
        <v>50</v>
      </c>
      <c r="F48" s="168">
        <v>127.06</v>
      </c>
      <c r="G48" s="169">
        <f t="shared" si="7"/>
        <v>6353</v>
      </c>
      <c r="H48" s="170" t="s">
        <v>203</v>
      </c>
      <c r="I48" s="171" t="s">
        <v>190</v>
      </c>
      <c r="J48" s="115"/>
      <c r="K48" s="116"/>
      <c r="L48" s="115"/>
      <c r="M48" s="115"/>
      <c r="P48" s="115"/>
    </row>
    <row r="49" s="109" customFormat="1" ht="84" outlineLevel="1" spans="1:16">
      <c r="A49" s="160">
        <v>40</v>
      </c>
      <c r="B49" s="170" t="s">
        <v>204</v>
      </c>
      <c r="C49" s="165" t="s">
        <v>205</v>
      </c>
      <c r="D49" s="166" t="s">
        <v>188</v>
      </c>
      <c r="E49" s="167">
        <v>50</v>
      </c>
      <c r="F49" s="168">
        <v>377.05</v>
      </c>
      <c r="G49" s="169">
        <f t="shared" si="7"/>
        <v>18852.5</v>
      </c>
      <c r="H49" s="170" t="s">
        <v>206</v>
      </c>
      <c r="I49" s="171" t="s">
        <v>190</v>
      </c>
      <c r="J49" s="115"/>
      <c r="K49" s="116"/>
      <c r="L49" s="115"/>
      <c r="M49" s="115"/>
      <c r="P49" s="115"/>
    </row>
    <row r="50" s="109" customFormat="1" ht="84" outlineLevel="1" spans="1:16">
      <c r="A50" s="160">
        <v>41</v>
      </c>
      <c r="B50" s="165" t="s">
        <v>207</v>
      </c>
      <c r="C50" s="165" t="s">
        <v>208</v>
      </c>
      <c r="D50" s="166" t="s">
        <v>188</v>
      </c>
      <c r="E50" s="167">
        <v>50</v>
      </c>
      <c r="F50" s="168">
        <v>40</v>
      </c>
      <c r="G50" s="169">
        <f t="shared" si="7"/>
        <v>2000</v>
      </c>
      <c r="H50" s="170" t="s">
        <v>209</v>
      </c>
      <c r="I50" s="171" t="s">
        <v>194</v>
      </c>
      <c r="J50" s="115"/>
      <c r="K50" s="116"/>
      <c r="L50" s="115"/>
      <c r="M50" s="115"/>
      <c r="P50" s="115"/>
    </row>
    <row r="51" s="109" customFormat="1" ht="84" outlineLevel="1" spans="1:16">
      <c r="A51" s="160">
        <v>42</v>
      </c>
      <c r="B51" s="165" t="s">
        <v>210</v>
      </c>
      <c r="C51" s="165" t="s">
        <v>205</v>
      </c>
      <c r="D51" s="166" t="s">
        <v>172</v>
      </c>
      <c r="E51" s="167">
        <v>50</v>
      </c>
      <c r="F51" s="168">
        <v>62.89</v>
      </c>
      <c r="G51" s="169">
        <f t="shared" si="7"/>
        <v>3144.5</v>
      </c>
      <c r="H51" s="170" t="s">
        <v>211</v>
      </c>
      <c r="I51" s="171" t="s">
        <v>190</v>
      </c>
      <c r="J51" s="115"/>
      <c r="K51" s="116"/>
      <c r="L51" s="115"/>
      <c r="M51" s="115"/>
      <c r="P51" s="115"/>
    </row>
    <row r="52" s="109" customFormat="1" ht="84" outlineLevel="1" spans="1:16">
      <c r="A52" s="160">
        <v>43</v>
      </c>
      <c r="B52" s="165" t="s">
        <v>212</v>
      </c>
      <c r="C52" s="165" t="s">
        <v>205</v>
      </c>
      <c r="D52" s="166" t="s">
        <v>172</v>
      </c>
      <c r="E52" s="167">
        <v>50</v>
      </c>
      <c r="F52" s="168">
        <v>125</v>
      </c>
      <c r="G52" s="169">
        <f t="shared" si="7"/>
        <v>6250</v>
      </c>
      <c r="H52" s="170" t="s">
        <v>213</v>
      </c>
      <c r="I52" s="171" t="s">
        <v>194</v>
      </c>
      <c r="J52" s="115"/>
      <c r="K52" s="116"/>
      <c r="L52" s="115"/>
      <c r="M52" s="115"/>
      <c r="P52" s="115"/>
    </row>
    <row r="53" s="109" customFormat="1" ht="84" outlineLevel="1" spans="1:16">
      <c r="A53" s="160">
        <v>44</v>
      </c>
      <c r="B53" s="165" t="s">
        <v>214</v>
      </c>
      <c r="C53" s="165" t="s">
        <v>205</v>
      </c>
      <c r="D53" s="166" t="s">
        <v>172</v>
      </c>
      <c r="E53" s="167">
        <v>50</v>
      </c>
      <c r="F53" s="168">
        <v>47.13</v>
      </c>
      <c r="G53" s="169">
        <f t="shared" si="7"/>
        <v>2356.5</v>
      </c>
      <c r="H53" s="170" t="s">
        <v>215</v>
      </c>
      <c r="I53" s="171" t="s">
        <v>190</v>
      </c>
      <c r="J53" s="115"/>
      <c r="K53" s="116"/>
      <c r="L53" s="115"/>
      <c r="M53" s="115"/>
      <c r="P53" s="115"/>
    </row>
    <row r="54" s="109" customFormat="1" ht="72" outlineLevel="1" spans="1:16">
      <c r="A54" s="160">
        <v>45</v>
      </c>
      <c r="B54" s="165" t="s">
        <v>216</v>
      </c>
      <c r="C54" s="165" t="s">
        <v>217</v>
      </c>
      <c r="D54" s="166" t="s">
        <v>172</v>
      </c>
      <c r="E54" s="167">
        <v>50</v>
      </c>
      <c r="F54" s="168">
        <v>15</v>
      </c>
      <c r="G54" s="169">
        <f t="shared" si="7"/>
        <v>750</v>
      </c>
      <c r="H54" s="170" t="s">
        <v>218</v>
      </c>
      <c r="I54" s="171" t="s">
        <v>194</v>
      </c>
      <c r="J54" s="115"/>
      <c r="K54" s="116"/>
      <c r="L54" s="115"/>
      <c r="M54" s="115"/>
      <c r="P54" s="115"/>
    </row>
    <row r="55" s="109" customFormat="1" ht="72" outlineLevel="1" spans="1:16">
      <c r="A55" s="160">
        <v>46</v>
      </c>
      <c r="B55" s="165" t="s">
        <v>219</v>
      </c>
      <c r="C55" s="165" t="s">
        <v>220</v>
      </c>
      <c r="D55" s="166" t="s">
        <v>172</v>
      </c>
      <c r="E55" s="167">
        <v>200</v>
      </c>
      <c r="F55" s="168">
        <v>50</v>
      </c>
      <c r="G55" s="169">
        <f t="shared" si="7"/>
        <v>10000</v>
      </c>
      <c r="H55" s="170" t="s">
        <v>218</v>
      </c>
      <c r="I55" s="171" t="s">
        <v>194</v>
      </c>
      <c r="J55" s="115"/>
      <c r="K55" s="116"/>
      <c r="L55" s="115"/>
      <c r="M55" s="115"/>
      <c r="P55" s="115"/>
    </row>
    <row r="56" s="109" customFormat="1" ht="72" outlineLevel="1" spans="1:16">
      <c r="A56" s="160">
        <v>47</v>
      </c>
      <c r="B56" s="165" t="s">
        <v>221</v>
      </c>
      <c r="C56" s="165" t="s">
        <v>222</v>
      </c>
      <c r="D56" s="166" t="s">
        <v>188</v>
      </c>
      <c r="E56" s="167">
        <v>100</v>
      </c>
      <c r="F56" s="168">
        <v>100</v>
      </c>
      <c r="G56" s="169">
        <f t="shared" si="7"/>
        <v>10000</v>
      </c>
      <c r="H56" s="170" t="s">
        <v>218</v>
      </c>
      <c r="I56" s="171" t="s">
        <v>194</v>
      </c>
      <c r="J56" s="115"/>
      <c r="K56" s="116"/>
      <c r="L56" s="115"/>
      <c r="M56" s="115"/>
      <c r="P56" s="115"/>
    </row>
    <row r="57" s="109" customFormat="1" ht="72" outlineLevel="1" spans="1:16">
      <c r="A57" s="160">
        <v>48</v>
      </c>
      <c r="B57" s="165" t="s">
        <v>223</v>
      </c>
      <c r="C57" s="165" t="s">
        <v>224</v>
      </c>
      <c r="D57" s="166" t="s">
        <v>225</v>
      </c>
      <c r="E57" s="167">
        <v>200</v>
      </c>
      <c r="F57" s="168">
        <v>100</v>
      </c>
      <c r="G57" s="169">
        <f t="shared" si="7"/>
        <v>20000</v>
      </c>
      <c r="H57" s="170" t="s">
        <v>218</v>
      </c>
      <c r="I57" s="171" t="s">
        <v>194</v>
      </c>
      <c r="J57" s="115"/>
      <c r="K57" s="116"/>
      <c r="L57" s="115"/>
      <c r="M57" s="115"/>
      <c r="P57" s="115"/>
    </row>
    <row r="58" s="109" customFormat="1" ht="72" outlineLevel="1" spans="1:16">
      <c r="A58" s="160">
        <v>49</v>
      </c>
      <c r="B58" s="165" t="s">
        <v>226</v>
      </c>
      <c r="C58" s="165" t="s">
        <v>227</v>
      </c>
      <c r="D58" s="166" t="s">
        <v>225</v>
      </c>
      <c r="E58" s="167">
        <v>200</v>
      </c>
      <c r="F58" s="168">
        <v>200</v>
      </c>
      <c r="G58" s="169">
        <f t="shared" si="7"/>
        <v>40000</v>
      </c>
      <c r="H58" s="170" t="s">
        <v>218</v>
      </c>
      <c r="I58" s="171" t="s">
        <v>194</v>
      </c>
      <c r="J58" s="115"/>
      <c r="K58" s="116"/>
      <c r="L58" s="115"/>
      <c r="M58" s="115"/>
      <c r="P58" s="115"/>
    </row>
    <row r="59" s="109" customFormat="1" ht="72" outlineLevel="1" spans="1:16">
      <c r="A59" s="160">
        <v>50</v>
      </c>
      <c r="B59" s="165" t="s">
        <v>228</v>
      </c>
      <c r="C59" s="165" t="s">
        <v>229</v>
      </c>
      <c r="D59" s="166" t="s">
        <v>225</v>
      </c>
      <c r="E59" s="167">
        <v>200</v>
      </c>
      <c r="F59" s="168">
        <v>200</v>
      </c>
      <c r="G59" s="169">
        <f t="shared" si="7"/>
        <v>40000</v>
      </c>
      <c r="H59" s="170" t="s">
        <v>218</v>
      </c>
      <c r="I59" s="171" t="s">
        <v>194</v>
      </c>
      <c r="J59" s="115"/>
      <c r="K59" s="116"/>
      <c r="L59" s="115"/>
      <c r="M59" s="115"/>
      <c r="P59" s="115"/>
    </row>
    <row r="60" s="109" customFormat="1" ht="13.5" outlineLevel="1" spans="1:16">
      <c r="A60" s="172" t="s">
        <v>124</v>
      </c>
      <c r="B60" s="172"/>
      <c r="C60" s="172"/>
      <c r="D60" s="172"/>
      <c r="E60" s="172"/>
      <c r="F60" s="172"/>
      <c r="G60" s="172">
        <f>SUM(G41:G59)</f>
        <v>266648.7</v>
      </c>
      <c r="H60" s="150"/>
      <c r="J60" s="115"/>
      <c r="K60" s="116"/>
      <c r="L60" s="115"/>
      <c r="M60" s="115"/>
      <c r="P60" s="115"/>
    </row>
    <row r="61" s="109" customFormat="1" ht="14.25" spans="1:16">
      <c r="A61" s="173" t="s">
        <v>230</v>
      </c>
      <c r="B61" s="126"/>
      <c r="C61" s="126"/>
      <c r="D61" s="126"/>
      <c r="E61" s="126"/>
      <c r="F61" s="126"/>
      <c r="G61" s="126"/>
      <c r="H61" s="126"/>
      <c r="J61" s="115"/>
      <c r="K61" s="116"/>
      <c r="L61" s="115"/>
      <c r="M61" s="115"/>
      <c r="P61" s="115"/>
    </row>
    <row r="62" s="109" customFormat="1" ht="72" outlineLevel="1" spans="1:16">
      <c r="A62" s="174">
        <v>51</v>
      </c>
      <c r="B62" s="170" t="s">
        <v>231</v>
      </c>
      <c r="C62" s="170" t="s">
        <v>232</v>
      </c>
      <c r="D62" s="166" t="s">
        <v>172</v>
      </c>
      <c r="E62" s="167">
        <v>20</v>
      </c>
      <c r="F62" s="175">
        <v>80</v>
      </c>
      <c r="G62" s="176">
        <f>E62*F62</f>
        <v>1600</v>
      </c>
      <c r="H62" s="170" t="s">
        <v>233</v>
      </c>
      <c r="I62" s="171" t="s">
        <v>194</v>
      </c>
      <c r="J62" s="115"/>
      <c r="K62" s="116"/>
      <c r="L62" s="115"/>
      <c r="M62" s="115"/>
      <c r="P62" s="115"/>
    </row>
    <row r="63" s="109" customFormat="1" ht="84" outlineLevel="1" spans="1:16">
      <c r="A63" s="174">
        <v>52</v>
      </c>
      <c r="B63" s="170" t="s">
        <v>234</v>
      </c>
      <c r="C63" s="170" t="s">
        <v>235</v>
      </c>
      <c r="D63" s="166" t="s">
        <v>172</v>
      </c>
      <c r="E63" s="167">
        <v>20</v>
      </c>
      <c r="F63" s="175">
        <v>245</v>
      </c>
      <c r="G63" s="176">
        <f t="shared" ref="G63:G76" si="8">E63*F63</f>
        <v>4900</v>
      </c>
      <c r="H63" s="170" t="s">
        <v>236</v>
      </c>
      <c r="I63" s="171" t="s">
        <v>194</v>
      </c>
      <c r="J63" s="115"/>
      <c r="K63" s="116"/>
      <c r="L63" s="115"/>
      <c r="M63" s="115"/>
      <c r="P63" s="115"/>
    </row>
    <row r="64" s="109" customFormat="1" ht="72" outlineLevel="1" spans="1:16">
      <c r="A64" s="174">
        <v>53</v>
      </c>
      <c r="B64" s="170" t="s">
        <v>237</v>
      </c>
      <c r="C64" s="170" t="s">
        <v>238</v>
      </c>
      <c r="D64" s="166" t="s">
        <v>172</v>
      </c>
      <c r="E64" s="167">
        <v>200</v>
      </c>
      <c r="F64" s="175">
        <v>125.98</v>
      </c>
      <c r="G64" s="176">
        <f t="shared" si="8"/>
        <v>25196</v>
      </c>
      <c r="H64" s="170" t="s">
        <v>239</v>
      </c>
      <c r="I64" s="171" t="s">
        <v>190</v>
      </c>
      <c r="J64" s="115"/>
      <c r="K64" s="116"/>
      <c r="L64" s="115"/>
      <c r="M64" s="115"/>
      <c r="P64" s="115"/>
    </row>
    <row r="65" s="109" customFormat="1" ht="72" outlineLevel="1" spans="1:16">
      <c r="A65" s="174">
        <v>54</v>
      </c>
      <c r="B65" s="170" t="s">
        <v>240</v>
      </c>
      <c r="C65" s="170" t="s">
        <v>238</v>
      </c>
      <c r="D65" s="166" t="s">
        <v>172</v>
      </c>
      <c r="E65" s="167">
        <v>200</v>
      </c>
      <c r="F65" s="175">
        <v>125.98</v>
      </c>
      <c r="G65" s="176">
        <f t="shared" si="8"/>
        <v>25196</v>
      </c>
      <c r="H65" s="170" t="s">
        <v>241</v>
      </c>
      <c r="I65" s="171" t="s">
        <v>190</v>
      </c>
      <c r="J65" s="115"/>
      <c r="K65" s="116"/>
      <c r="L65" s="115"/>
      <c r="M65" s="115"/>
      <c r="P65" s="115"/>
    </row>
    <row r="66" s="109" customFormat="1" ht="72" outlineLevel="1" spans="1:16">
      <c r="A66" s="174">
        <v>55</v>
      </c>
      <c r="B66" s="170" t="s">
        <v>242</v>
      </c>
      <c r="C66" s="170" t="s">
        <v>238</v>
      </c>
      <c r="D66" s="166" t="s">
        <v>172</v>
      </c>
      <c r="E66" s="167">
        <v>200</v>
      </c>
      <c r="F66" s="175">
        <v>93.4</v>
      </c>
      <c r="G66" s="176">
        <f t="shared" si="8"/>
        <v>18680</v>
      </c>
      <c r="H66" s="170" t="s">
        <v>243</v>
      </c>
      <c r="I66" s="171" t="s">
        <v>190</v>
      </c>
      <c r="J66" s="115"/>
      <c r="K66" s="116"/>
      <c r="L66" s="115"/>
      <c r="M66" s="115"/>
      <c r="P66" s="115"/>
    </row>
    <row r="67" s="109" customFormat="1" ht="72" outlineLevel="1" spans="1:16">
      <c r="A67" s="174">
        <v>56</v>
      </c>
      <c r="B67" s="170" t="s">
        <v>244</v>
      </c>
      <c r="C67" s="170" t="s">
        <v>238</v>
      </c>
      <c r="D67" s="166" t="s">
        <v>172</v>
      </c>
      <c r="E67" s="167">
        <v>200</v>
      </c>
      <c r="F67" s="175">
        <v>89.57</v>
      </c>
      <c r="G67" s="176">
        <f t="shared" si="8"/>
        <v>17914</v>
      </c>
      <c r="H67" s="170" t="s">
        <v>245</v>
      </c>
      <c r="I67" s="171" t="s">
        <v>190</v>
      </c>
      <c r="J67" s="115"/>
      <c r="K67" s="116"/>
      <c r="L67" s="115"/>
      <c r="M67" s="115"/>
      <c r="P67" s="115"/>
    </row>
    <row r="68" s="109" customFormat="1" ht="72" outlineLevel="1" spans="1:16">
      <c r="A68" s="174">
        <v>57</v>
      </c>
      <c r="B68" s="170" t="s">
        <v>246</v>
      </c>
      <c r="C68" s="170" t="s">
        <v>238</v>
      </c>
      <c r="D68" s="166" t="s">
        <v>172</v>
      </c>
      <c r="E68" s="167">
        <v>200</v>
      </c>
      <c r="F68" s="175">
        <v>40.74</v>
      </c>
      <c r="G68" s="176">
        <f t="shared" si="8"/>
        <v>8148</v>
      </c>
      <c r="H68" s="170" t="s">
        <v>247</v>
      </c>
      <c r="I68" s="171" t="s">
        <v>190</v>
      </c>
      <c r="J68" s="115"/>
      <c r="K68" s="116"/>
      <c r="L68" s="115"/>
      <c r="M68" s="115"/>
      <c r="P68" s="115"/>
    </row>
    <row r="69" s="109" customFormat="1" ht="72" outlineLevel="1" spans="1:16">
      <c r="A69" s="174">
        <v>58</v>
      </c>
      <c r="B69" s="170" t="s">
        <v>248</v>
      </c>
      <c r="C69" s="170" t="s">
        <v>238</v>
      </c>
      <c r="D69" s="166" t="s">
        <v>172</v>
      </c>
      <c r="E69" s="167">
        <v>200</v>
      </c>
      <c r="F69" s="175">
        <v>46.4</v>
      </c>
      <c r="G69" s="176">
        <f t="shared" si="8"/>
        <v>9280</v>
      </c>
      <c r="H69" s="170" t="s">
        <v>249</v>
      </c>
      <c r="I69" s="171" t="s">
        <v>190</v>
      </c>
      <c r="J69" s="115"/>
      <c r="K69" s="116"/>
      <c r="L69" s="115"/>
      <c r="M69" s="115"/>
      <c r="P69" s="115"/>
    </row>
    <row r="70" s="109" customFormat="1" ht="72" outlineLevel="1" spans="1:16">
      <c r="A70" s="174">
        <v>59</v>
      </c>
      <c r="B70" s="170" t="s">
        <v>250</v>
      </c>
      <c r="C70" s="170" t="s">
        <v>238</v>
      </c>
      <c r="D70" s="166" t="s">
        <v>172</v>
      </c>
      <c r="E70" s="167">
        <v>100</v>
      </c>
      <c r="F70" s="175">
        <v>76.23</v>
      </c>
      <c r="G70" s="176">
        <f t="shared" si="8"/>
        <v>7623</v>
      </c>
      <c r="H70" s="170" t="s">
        <v>251</v>
      </c>
      <c r="I70" s="171" t="s">
        <v>190</v>
      </c>
      <c r="J70" s="115"/>
      <c r="K70" s="116"/>
      <c r="L70" s="115"/>
      <c r="M70" s="115"/>
      <c r="P70" s="115"/>
    </row>
    <row r="71" s="109" customFormat="1" ht="96" outlineLevel="1" spans="1:16">
      <c r="A71" s="174">
        <v>60</v>
      </c>
      <c r="B71" s="170" t="s">
        <v>252</v>
      </c>
      <c r="C71" s="170" t="s">
        <v>253</v>
      </c>
      <c r="D71" s="166" t="s">
        <v>172</v>
      </c>
      <c r="E71" s="167">
        <v>200</v>
      </c>
      <c r="F71" s="175">
        <v>26.17</v>
      </c>
      <c r="G71" s="176">
        <f t="shared" si="8"/>
        <v>5234</v>
      </c>
      <c r="H71" s="170" t="s">
        <v>254</v>
      </c>
      <c r="I71" s="171" t="s">
        <v>190</v>
      </c>
      <c r="J71" s="115"/>
      <c r="K71" s="116"/>
      <c r="L71" s="115"/>
      <c r="M71" s="115"/>
      <c r="P71" s="115"/>
    </row>
    <row r="72" s="109" customFormat="1" ht="84" outlineLevel="1" spans="1:16">
      <c r="A72" s="174">
        <v>61</v>
      </c>
      <c r="B72" s="170" t="s">
        <v>255</v>
      </c>
      <c r="C72" s="170" t="s">
        <v>256</v>
      </c>
      <c r="D72" s="166" t="s">
        <v>257</v>
      </c>
      <c r="E72" s="167">
        <v>200</v>
      </c>
      <c r="F72" s="175">
        <v>10</v>
      </c>
      <c r="G72" s="176">
        <f t="shared" si="8"/>
        <v>2000</v>
      </c>
      <c r="H72" s="170" t="s">
        <v>258</v>
      </c>
      <c r="I72" s="171" t="s">
        <v>194</v>
      </c>
      <c r="J72" s="115"/>
      <c r="K72" s="116"/>
      <c r="L72" s="115"/>
      <c r="M72" s="115"/>
      <c r="P72" s="115"/>
    </row>
    <row r="73" s="109" customFormat="1" ht="84" outlineLevel="1" spans="1:16">
      <c r="A73" s="174">
        <v>62</v>
      </c>
      <c r="B73" s="177" t="s">
        <v>259</v>
      </c>
      <c r="C73" s="178" t="s">
        <v>260</v>
      </c>
      <c r="D73" s="166" t="s">
        <v>172</v>
      </c>
      <c r="E73" s="167">
        <v>10</v>
      </c>
      <c r="F73" s="175">
        <v>540.83</v>
      </c>
      <c r="G73" s="176">
        <f t="shared" si="8"/>
        <v>5408.3</v>
      </c>
      <c r="H73" s="170" t="s">
        <v>261</v>
      </c>
      <c r="I73" s="171" t="s">
        <v>190</v>
      </c>
      <c r="J73" s="115"/>
      <c r="K73" s="116"/>
      <c r="L73" s="115"/>
      <c r="M73" s="115"/>
      <c r="P73" s="115"/>
    </row>
    <row r="74" s="109" customFormat="1" ht="84" outlineLevel="1" spans="1:16">
      <c r="A74" s="174">
        <v>63</v>
      </c>
      <c r="B74" s="177" t="s">
        <v>262</v>
      </c>
      <c r="C74" s="178" t="s">
        <v>260</v>
      </c>
      <c r="D74" s="166" t="s">
        <v>172</v>
      </c>
      <c r="E74" s="167">
        <v>10</v>
      </c>
      <c r="F74" s="175">
        <v>866.03</v>
      </c>
      <c r="G74" s="176">
        <f t="shared" si="8"/>
        <v>8660.3</v>
      </c>
      <c r="H74" s="170" t="s">
        <v>263</v>
      </c>
      <c r="I74" s="171" t="s">
        <v>190</v>
      </c>
      <c r="J74" s="115"/>
      <c r="K74" s="116"/>
      <c r="L74" s="115"/>
      <c r="M74" s="115"/>
      <c r="P74" s="115"/>
    </row>
    <row r="75" s="109" customFormat="1" ht="72" outlineLevel="1" spans="1:16">
      <c r="A75" s="174">
        <v>64</v>
      </c>
      <c r="B75" s="170" t="s">
        <v>264</v>
      </c>
      <c r="C75" s="170" t="s">
        <v>265</v>
      </c>
      <c r="D75" s="166" t="s">
        <v>266</v>
      </c>
      <c r="E75" s="167">
        <v>200</v>
      </c>
      <c r="F75" s="175">
        <v>60</v>
      </c>
      <c r="G75" s="176">
        <f t="shared" si="8"/>
        <v>12000</v>
      </c>
      <c r="H75" s="170" t="s">
        <v>218</v>
      </c>
      <c r="I75" s="171" t="s">
        <v>194</v>
      </c>
      <c r="J75" s="115"/>
      <c r="K75" s="116"/>
      <c r="L75" s="115"/>
      <c r="M75" s="115"/>
      <c r="P75" s="115"/>
    </row>
    <row r="76" s="109" customFormat="1" ht="72" outlineLevel="1" spans="1:16">
      <c r="A76" s="174">
        <v>65</v>
      </c>
      <c r="B76" s="170" t="s">
        <v>267</v>
      </c>
      <c r="C76" s="170" t="s">
        <v>268</v>
      </c>
      <c r="D76" s="166" t="s">
        <v>100</v>
      </c>
      <c r="E76" s="167">
        <v>200</v>
      </c>
      <c r="F76" s="175">
        <v>32</v>
      </c>
      <c r="G76" s="176">
        <f t="shared" si="8"/>
        <v>6400</v>
      </c>
      <c r="H76" s="170" t="s">
        <v>269</v>
      </c>
      <c r="I76" s="171" t="s">
        <v>194</v>
      </c>
      <c r="J76" s="115"/>
      <c r="K76" s="116"/>
      <c r="L76" s="115"/>
      <c r="M76" s="115"/>
      <c r="P76" s="115"/>
    </row>
    <row r="77" s="109" customFormat="1" ht="13.5" outlineLevel="1" spans="1:16">
      <c r="A77" s="150" t="s">
        <v>124</v>
      </c>
      <c r="B77" s="150"/>
      <c r="C77" s="150"/>
      <c r="D77" s="150"/>
      <c r="E77" s="150"/>
      <c r="F77" s="150"/>
      <c r="G77" s="179">
        <f>SUM(G62:G76)</f>
        <v>158239.6</v>
      </c>
      <c r="H77" s="150"/>
      <c r="J77" s="115"/>
      <c r="K77" s="116"/>
      <c r="L77" s="115"/>
      <c r="M77" s="115"/>
      <c r="P77" s="115"/>
    </row>
    <row r="78" s="109" customFormat="1" ht="14.25" spans="1:16">
      <c r="A78" s="126" t="s">
        <v>270</v>
      </c>
      <c r="B78" s="126"/>
      <c r="C78" s="126"/>
      <c r="D78" s="126"/>
      <c r="E78" s="126"/>
      <c r="F78" s="126"/>
      <c r="G78" s="126"/>
      <c r="H78" s="126"/>
      <c r="J78" s="115"/>
      <c r="K78" s="116"/>
      <c r="L78" s="115"/>
      <c r="M78" s="115"/>
      <c r="P78" s="115"/>
    </row>
    <row r="79" s="109" customFormat="1" ht="96" outlineLevel="1" spans="1:16">
      <c r="A79" s="122">
        <v>66</v>
      </c>
      <c r="B79" s="131" t="s">
        <v>271</v>
      </c>
      <c r="C79" s="131" t="s">
        <v>272</v>
      </c>
      <c r="D79" s="123" t="s">
        <v>157</v>
      </c>
      <c r="E79" s="133">
        <v>100</v>
      </c>
      <c r="F79" s="137">
        <f t="shared" ref="F79:F84" si="9">ROUND(AVERAGE(J79,K79,L79,M79),2)</f>
        <v>64.89</v>
      </c>
      <c r="G79" s="124">
        <f t="shared" ref="G79:G84" si="10">E79*F79</f>
        <v>6489</v>
      </c>
      <c r="H79" s="131" t="s">
        <v>273</v>
      </c>
      <c r="J79" s="127">
        <f>ROUND(32/1.09,2)</f>
        <v>29.36</v>
      </c>
      <c r="K79" s="151">
        <v>149.68</v>
      </c>
      <c r="L79" s="115">
        <f>16.45*95%</f>
        <v>15.6275</v>
      </c>
      <c r="M79" s="115"/>
      <c r="P79" s="115"/>
    </row>
    <row r="80" s="109" customFormat="1" ht="72" outlineLevel="1" spans="1:16">
      <c r="A80" s="140">
        <v>67</v>
      </c>
      <c r="B80" s="141" t="s">
        <v>274</v>
      </c>
      <c r="C80" s="141" t="s">
        <v>275</v>
      </c>
      <c r="D80" s="142" t="s">
        <v>100</v>
      </c>
      <c r="E80" s="143">
        <v>200</v>
      </c>
      <c r="F80" s="144">
        <f>P80</f>
        <v>4.27</v>
      </c>
      <c r="G80" s="145">
        <f t="shared" si="10"/>
        <v>854</v>
      </c>
      <c r="H80" s="141" t="s">
        <v>276</v>
      </c>
      <c r="J80" s="127">
        <f>ROUND(6/1.09,2)</f>
        <v>5.5</v>
      </c>
      <c r="K80" s="151">
        <v>50.4093333333333</v>
      </c>
      <c r="L80" s="115">
        <f>3.77*95%</f>
        <v>3.5815</v>
      </c>
      <c r="M80" s="115"/>
      <c r="P80" s="115">
        <v>4.27</v>
      </c>
    </row>
    <row r="81" s="109" customFormat="1" ht="72" outlineLevel="1" spans="1:16">
      <c r="A81" s="140">
        <v>68</v>
      </c>
      <c r="B81" s="157" t="s">
        <v>277</v>
      </c>
      <c r="C81" s="141" t="s">
        <v>278</v>
      </c>
      <c r="D81" s="142" t="s">
        <v>93</v>
      </c>
      <c r="E81" s="143">
        <v>200</v>
      </c>
      <c r="F81" s="144">
        <f>P81</f>
        <v>7.31</v>
      </c>
      <c r="G81" s="145">
        <f t="shared" si="10"/>
        <v>1462</v>
      </c>
      <c r="H81" s="141" t="s">
        <v>258</v>
      </c>
      <c r="J81" s="127">
        <f t="shared" ref="J81:J83" si="11">ROUND(40/1.09,2)</f>
        <v>36.7</v>
      </c>
      <c r="K81" s="116"/>
      <c r="L81" s="115">
        <f>5.03*95%</f>
        <v>4.7785</v>
      </c>
      <c r="M81" s="115"/>
      <c r="P81" s="115">
        <v>7.31</v>
      </c>
    </row>
    <row r="82" s="109" customFormat="1" ht="72" outlineLevel="1" spans="1:16">
      <c r="A82" s="122">
        <v>69</v>
      </c>
      <c r="B82" s="139" t="s">
        <v>279</v>
      </c>
      <c r="C82" s="139" t="s">
        <v>280</v>
      </c>
      <c r="D82" s="156" t="s">
        <v>172</v>
      </c>
      <c r="E82" s="133">
        <v>100</v>
      </c>
      <c r="F82" s="137">
        <f t="shared" si="9"/>
        <v>95.59</v>
      </c>
      <c r="G82" s="124">
        <f t="shared" si="10"/>
        <v>9559</v>
      </c>
      <c r="H82" s="139" t="s">
        <v>281</v>
      </c>
      <c r="J82" s="127">
        <f t="shared" si="11"/>
        <v>36.7</v>
      </c>
      <c r="K82" s="151">
        <v>154.473333333333</v>
      </c>
      <c r="L82" s="115"/>
      <c r="M82" s="115"/>
      <c r="P82" s="115"/>
    </row>
    <row r="83" s="109" customFormat="1" ht="72" outlineLevel="1" spans="1:16">
      <c r="A83" s="122">
        <v>70</v>
      </c>
      <c r="B83" s="139" t="s">
        <v>282</v>
      </c>
      <c r="C83" s="131" t="s">
        <v>283</v>
      </c>
      <c r="D83" s="156" t="s">
        <v>153</v>
      </c>
      <c r="E83" s="133">
        <v>100</v>
      </c>
      <c r="F83" s="137">
        <f t="shared" si="9"/>
        <v>165.19</v>
      </c>
      <c r="G83" s="124">
        <f t="shared" si="10"/>
        <v>16519</v>
      </c>
      <c r="H83" s="131" t="s">
        <v>258</v>
      </c>
      <c r="J83" s="127">
        <f>ROUND(185/1.09,2)</f>
        <v>169.72</v>
      </c>
      <c r="K83" s="151">
        <v>322.986666666667</v>
      </c>
      <c r="L83" s="115">
        <f>3*95%</f>
        <v>2.85</v>
      </c>
      <c r="M83" s="115"/>
      <c r="P83" s="115"/>
    </row>
    <row r="84" s="109" customFormat="1" ht="96" outlineLevel="1" spans="1:16">
      <c r="A84" s="160">
        <v>71</v>
      </c>
      <c r="B84" s="180" t="s">
        <v>284</v>
      </c>
      <c r="C84" s="180" t="s">
        <v>285</v>
      </c>
      <c r="D84" s="181" t="s">
        <v>93</v>
      </c>
      <c r="E84" s="182">
        <v>40</v>
      </c>
      <c r="F84" s="183">
        <f t="shared" si="9"/>
        <v>420.81</v>
      </c>
      <c r="G84" s="184">
        <f t="shared" si="10"/>
        <v>16832.4</v>
      </c>
      <c r="H84" s="185"/>
      <c r="J84" s="127">
        <f>ROUND(301/1.09,2)</f>
        <v>276.15</v>
      </c>
      <c r="K84" s="151">
        <v>565.46</v>
      </c>
      <c r="L84" s="115"/>
      <c r="M84" s="115"/>
      <c r="P84" s="115"/>
    </row>
    <row r="85" s="109" customFormat="1" ht="96" outlineLevel="1" spans="1:16">
      <c r="A85" s="122">
        <v>72</v>
      </c>
      <c r="B85" s="131" t="s">
        <v>286</v>
      </c>
      <c r="C85" s="131" t="s">
        <v>287</v>
      </c>
      <c r="D85" s="123" t="s">
        <v>93</v>
      </c>
      <c r="E85" s="133">
        <v>40</v>
      </c>
      <c r="F85" s="137">
        <f t="shared" ref="F85:F94" si="12">ROUND(AVERAGE(J85,K85,L85,M85),2)</f>
        <v>312.61</v>
      </c>
      <c r="G85" s="124">
        <f t="shared" ref="G85:G94" si="13">E85*F85</f>
        <v>12504.4</v>
      </c>
      <c r="H85" s="131" t="s">
        <v>288</v>
      </c>
      <c r="J85" s="115"/>
      <c r="K85" s="116"/>
      <c r="L85" s="115">
        <f>390.57*95%</f>
        <v>371.0415</v>
      </c>
      <c r="M85" s="115">
        <v>254.17</v>
      </c>
      <c r="P85" s="115"/>
    </row>
    <row r="86" s="109" customFormat="1" ht="96" outlineLevel="1" spans="1:16">
      <c r="A86" s="122">
        <v>73</v>
      </c>
      <c r="B86" s="131" t="s">
        <v>289</v>
      </c>
      <c r="C86" s="131" t="s">
        <v>290</v>
      </c>
      <c r="D86" s="123" t="s">
        <v>257</v>
      </c>
      <c r="E86" s="133">
        <v>50</v>
      </c>
      <c r="F86" s="137">
        <f t="shared" si="12"/>
        <v>64.39</v>
      </c>
      <c r="G86" s="124">
        <f t="shared" si="13"/>
        <v>3219.5</v>
      </c>
      <c r="H86" s="131" t="s">
        <v>291</v>
      </c>
      <c r="J86" s="127">
        <f>ROUND(55/1.09,2)</f>
        <v>50.46</v>
      </c>
      <c r="K86" s="116"/>
      <c r="L86" s="115">
        <f>82.44*95%</f>
        <v>78.318</v>
      </c>
      <c r="M86" s="115"/>
      <c r="P86" s="115"/>
    </row>
    <row r="87" s="109" customFormat="1" ht="96" outlineLevel="1" spans="1:16">
      <c r="A87" s="122">
        <v>74</v>
      </c>
      <c r="B87" s="132" t="s">
        <v>292</v>
      </c>
      <c r="C87" s="132" t="s">
        <v>293</v>
      </c>
      <c r="D87" s="123" t="s">
        <v>100</v>
      </c>
      <c r="E87" s="133">
        <v>50</v>
      </c>
      <c r="F87" s="137">
        <f t="shared" si="12"/>
        <v>468.45</v>
      </c>
      <c r="G87" s="124">
        <f t="shared" si="13"/>
        <v>23422.5</v>
      </c>
      <c r="H87" s="132" t="s">
        <v>294</v>
      </c>
      <c r="J87" s="127">
        <f>ROUND(353/1.09,2)</f>
        <v>323.85</v>
      </c>
      <c r="K87" s="116"/>
      <c r="L87" s="115">
        <f>582.92*95%</f>
        <v>553.774</v>
      </c>
      <c r="M87" s="115">
        <v>527.72</v>
      </c>
      <c r="P87" s="115"/>
    </row>
    <row r="88" s="109" customFormat="1" ht="108" outlineLevel="1" spans="1:16">
      <c r="A88" s="140">
        <v>75</v>
      </c>
      <c r="B88" s="157" t="s">
        <v>295</v>
      </c>
      <c r="C88" s="163" t="s">
        <v>296</v>
      </c>
      <c r="D88" s="142" t="s">
        <v>93</v>
      </c>
      <c r="E88" s="143">
        <v>500</v>
      </c>
      <c r="F88" s="144">
        <f>P88</f>
        <v>133.26</v>
      </c>
      <c r="G88" s="145">
        <f t="shared" si="13"/>
        <v>66630</v>
      </c>
      <c r="H88" s="141" t="s">
        <v>297</v>
      </c>
      <c r="J88" s="127">
        <f t="shared" ref="J88:J92" si="14">ROUND(284.38/1.09,2)</f>
        <v>260.9</v>
      </c>
      <c r="K88" s="151">
        <v>336.32</v>
      </c>
      <c r="L88" s="115">
        <f>97.2*95%</f>
        <v>92.34</v>
      </c>
      <c r="M88" s="115">
        <v>410.39</v>
      </c>
      <c r="P88" s="130">
        <v>133.26</v>
      </c>
    </row>
    <row r="89" s="109" customFormat="1" ht="108" outlineLevel="1" spans="1:16">
      <c r="A89" s="140">
        <v>76</v>
      </c>
      <c r="B89" s="157" t="s">
        <v>295</v>
      </c>
      <c r="C89" s="141" t="s">
        <v>298</v>
      </c>
      <c r="D89" s="142" t="s">
        <v>93</v>
      </c>
      <c r="E89" s="142">
        <v>500</v>
      </c>
      <c r="F89" s="144">
        <f>P89</f>
        <v>164.27</v>
      </c>
      <c r="G89" s="145">
        <f t="shared" si="13"/>
        <v>82135</v>
      </c>
      <c r="H89" s="157" t="s">
        <v>299</v>
      </c>
      <c r="J89" s="127">
        <f t="shared" si="14"/>
        <v>260.9</v>
      </c>
      <c r="K89" s="151">
        <v>336.32</v>
      </c>
      <c r="L89" s="115">
        <f>124.8*95%</f>
        <v>118.56</v>
      </c>
      <c r="M89" s="115">
        <v>410.39</v>
      </c>
      <c r="P89" s="130">
        <v>164.27</v>
      </c>
    </row>
    <row r="90" s="109" customFormat="1" ht="108" outlineLevel="1" spans="1:16">
      <c r="A90" s="140">
        <v>77</v>
      </c>
      <c r="B90" s="157" t="s">
        <v>300</v>
      </c>
      <c r="C90" s="141" t="s">
        <v>301</v>
      </c>
      <c r="D90" s="142" t="s">
        <v>93</v>
      </c>
      <c r="E90" s="142">
        <v>500</v>
      </c>
      <c r="F90" s="144">
        <f>P90</f>
        <v>164.27</v>
      </c>
      <c r="G90" s="145">
        <f t="shared" si="13"/>
        <v>82135</v>
      </c>
      <c r="H90" s="141" t="s">
        <v>302</v>
      </c>
      <c r="J90" s="127">
        <f t="shared" si="14"/>
        <v>260.9</v>
      </c>
      <c r="K90" s="151">
        <v>336.32</v>
      </c>
      <c r="L90" s="115">
        <f>124.8*95%</f>
        <v>118.56</v>
      </c>
      <c r="M90" s="115">
        <v>403.45</v>
      </c>
      <c r="P90" s="130">
        <v>164.27</v>
      </c>
    </row>
    <row r="91" s="109" customFormat="1" ht="108" outlineLevel="1" spans="1:16">
      <c r="A91" s="140">
        <v>78</v>
      </c>
      <c r="B91" s="157" t="s">
        <v>300</v>
      </c>
      <c r="C91" s="152" t="s">
        <v>303</v>
      </c>
      <c r="D91" s="142" t="s">
        <v>93</v>
      </c>
      <c r="E91" s="143">
        <v>500</v>
      </c>
      <c r="F91" s="144">
        <f>P91</f>
        <v>133.26</v>
      </c>
      <c r="G91" s="145">
        <f t="shared" si="13"/>
        <v>66630</v>
      </c>
      <c r="H91" s="157" t="s">
        <v>304</v>
      </c>
      <c r="J91" s="127">
        <f t="shared" si="14"/>
        <v>260.9</v>
      </c>
      <c r="K91" s="151">
        <v>336.32</v>
      </c>
      <c r="L91" s="115">
        <f>97.2*95%</f>
        <v>92.34</v>
      </c>
      <c r="M91" s="115">
        <v>403.45</v>
      </c>
      <c r="P91" s="130">
        <v>133.26</v>
      </c>
    </row>
    <row r="92" s="109" customFormat="1" ht="132" outlineLevel="1" spans="1:16">
      <c r="A92" s="122">
        <v>79</v>
      </c>
      <c r="B92" s="131" t="s">
        <v>305</v>
      </c>
      <c r="C92" s="132" t="s">
        <v>306</v>
      </c>
      <c r="D92" s="123" t="s">
        <v>100</v>
      </c>
      <c r="E92" s="133">
        <v>100</v>
      </c>
      <c r="F92" s="137">
        <f t="shared" si="12"/>
        <v>228.12</v>
      </c>
      <c r="G92" s="124">
        <f t="shared" si="13"/>
        <v>22812</v>
      </c>
      <c r="H92" s="131" t="s">
        <v>307</v>
      </c>
      <c r="J92" s="127">
        <f>ROUND(140/1.09,2)</f>
        <v>128.44</v>
      </c>
      <c r="K92" s="116"/>
      <c r="L92" s="115">
        <f>327.59*95%</f>
        <v>311.2105</v>
      </c>
      <c r="M92" s="115">
        <v>244.72</v>
      </c>
      <c r="P92" s="115"/>
    </row>
    <row r="93" s="109" customFormat="1" ht="132" outlineLevel="1" spans="1:16">
      <c r="A93" s="122">
        <v>80</v>
      </c>
      <c r="B93" s="131" t="s">
        <v>308</v>
      </c>
      <c r="C93" s="132" t="s">
        <v>306</v>
      </c>
      <c r="D93" s="123" t="s">
        <v>257</v>
      </c>
      <c r="E93" s="133">
        <v>400</v>
      </c>
      <c r="F93" s="137">
        <f t="shared" si="12"/>
        <v>134.56</v>
      </c>
      <c r="G93" s="124">
        <f t="shared" si="13"/>
        <v>53824</v>
      </c>
      <c r="H93" s="131" t="s">
        <v>307</v>
      </c>
      <c r="J93" s="127">
        <f>ROUND(54/1.09,2)</f>
        <v>49.54</v>
      </c>
      <c r="K93" s="116"/>
      <c r="L93" s="115">
        <f>231.13*95%</f>
        <v>219.5735</v>
      </c>
      <c r="M93" s="115"/>
      <c r="P93" s="115"/>
    </row>
    <row r="94" s="109" customFormat="1" ht="14.25" outlineLevel="1" spans="1:16">
      <c r="A94" s="126" t="s">
        <v>124</v>
      </c>
      <c r="B94" s="126"/>
      <c r="C94" s="126"/>
      <c r="D94" s="126"/>
      <c r="E94" s="126"/>
      <c r="F94" s="126"/>
      <c r="G94" s="186">
        <f>SUM(G79:G93)</f>
        <v>465027.8</v>
      </c>
      <c r="H94" s="126"/>
      <c r="J94" s="115"/>
      <c r="K94" s="116"/>
      <c r="L94" s="115"/>
      <c r="M94" s="115"/>
      <c r="P94" s="115"/>
    </row>
    <row r="95" s="109" customFormat="1" ht="14.25" spans="1:16">
      <c r="A95" s="126" t="s">
        <v>309</v>
      </c>
      <c r="B95" s="126"/>
      <c r="C95" s="126"/>
      <c r="D95" s="126"/>
      <c r="E95" s="126"/>
      <c r="F95" s="126"/>
      <c r="G95" s="126"/>
      <c r="H95" s="126"/>
      <c r="J95" s="115"/>
      <c r="K95" s="116"/>
      <c r="L95" s="115"/>
      <c r="M95" s="115"/>
      <c r="P95" s="115"/>
    </row>
    <row r="96" s="109" customFormat="1" outlineLevel="1" spans="1:16">
      <c r="A96" s="187" t="s">
        <v>310</v>
      </c>
      <c r="B96" s="187"/>
      <c r="C96" s="187"/>
      <c r="D96" s="187"/>
      <c r="E96" s="187"/>
      <c r="F96" s="187"/>
      <c r="G96" s="187"/>
      <c r="H96" s="187"/>
      <c r="J96" s="115"/>
      <c r="K96" s="116"/>
      <c r="L96" s="115"/>
      <c r="M96" s="115"/>
      <c r="P96" s="115"/>
    </row>
    <row r="97" s="109" customFormat="1" ht="60" outlineLevel="1" spans="1:16">
      <c r="A97" s="122">
        <v>81</v>
      </c>
      <c r="B97" s="131" t="s">
        <v>311</v>
      </c>
      <c r="C97" s="131" t="s">
        <v>312</v>
      </c>
      <c r="D97" s="123" t="s">
        <v>93</v>
      </c>
      <c r="E97" s="133">
        <v>400</v>
      </c>
      <c r="F97" s="137">
        <f>ROUND(AVERAGE(J97,K97,L97,M97),2)</f>
        <v>29.02</v>
      </c>
      <c r="G97" s="124">
        <f t="shared" ref="G97:G107" si="15">E97*F97</f>
        <v>11608</v>
      </c>
      <c r="H97" s="131" t="s">
        <v>258</v>
      </c>
      <c r="J97" s="127">
        <f>ROUND(40/1.09,2)</f>
        <v>36.7</v>
      </c>
      <c r="K97" s="116"/>
      <c r="L97" s="115">
        <f>22.46*95%</f>
        <v>21.337</v>
      </c>
      <c r="M97" s="115"/>
      <c r="P97" s="115"/>
    </row>
    <row r="98" s="109" customFormat="1" ht="60" outlineLevel="1" spans="1:16">
      <c r="A98" s="122">
        <v>82</v>
      </c>
      <c r="B98" s="131" t="s">
        <v>313</v>
      </c>
      <c r="C98" s="131" t="s">
        <v>312</v>
      </c>
      <c r="D98" s="123" t="s">
        <v>93</v>
      </c>
      <c r="E98" s="133">
        <v>400</v>
      </c>
      <c r="F98" s="137">
        <f t="shared" ref="F98:F104" si="16">ROUND(AVERAGE(J98,K98,L98,M98),2)</f>
        <v>24.83</v>
      </c>
      <c r="G98" s="124">
        <f t="shared" si="15"/>
        <v>9932</v>
      </c>
      <c r="H98" s="131" t="s">
        <v>258</v>
      </c>
      <c r="J98" s="127">
        <f>ROUND(40/1.09,2)</f>
        <v>36.7</v>
      </c>
      <c r="K98" s="116"/>
      <c r="L98" s="115">
        <f>13.65*95%</f>
        <v>12.9675</v>
      </c>
      <c r="M98" s="115"/>
      <c r="P98" s="115"/>
    </row>
    <row r="99" s="109" customFormat="1" ht="60" outlineLevel="1" spans="1:16">
      <c r="A99" s="122">
        <v>83</v>
      </c>
      <c r="B99" s="131" t="s">
        <v>314</v>
      </c>
      <c r="C99" s="131" t="s">
        <v>312</v>
      </c>
      <c r="D99" s="123" t="s">
        <v>93</v>
      </c>
      <c r="E99" s="133">
        <v>400</v>
      </c>
      <c r="F99" s="137">
        <f t="shared" si="16"/>
        <v>19.34</v>
      </c>
      <c r="G99" s="124">
        <f t="shared" si="15"/>
        <v>7736</v>
      </c>
      <c r="H99" s="131" t="s">
        <v>258</v>
      </c>
      <c r="J99" s="127">
        <f>ROUND(30/1.09,2)</f>
        <v>27.52</v>
      </c>
      <c r="K99" s="116"/>
      <c r="L99" s="115">
        <f>11.74*95%</f>
        <v>11.153</v>
      </c>
      <c r="M99" s="115"/>
      <c r="P99" s="115"/>
    </row>
    <row r="100" s="109" customFormat="1" ht="84" outlineLevel="1" spans="1:16">
      <c r="A100" s="122">
        <v>84</v>
      </c>
      <c r="B100" s="131" t="s">
        <v>315</v>
      </c>
      <c r="C100" s="131" t="s">
        <v>316</v>
      </c>
      <c r="D100" s="123" t="s">
        <v>93</v>
      </c>
      <c r="E100" s="133">
        <v>400</v>
      </c>
      <c r="F100" s="137">
        <f t="shared" si="16"/>
        <v>18.99</v>
      </c>
      <c r="G100" s="124">
        <f t="shared" si="15"/>
        <v>7596</v>
      </c>
      <c r="H100" s="131" t="s">
        <v>258</v>
      </c>
      <c r="J100" s="127">
        <f>ROUND(30/1.09,2)</f>
        <v>27.52</v>
      </c>
      <c r="K100" s="116"/>
      <c r="L100" s="115">
        <f>11.01*95%</f>
        <v>10.4595</v>
      </c>
      <c r="M100" s="115"/>
      <c r="P100" s="115"/>
    </row>
    <row r="101" s="109" customFormat="1" ht="96" outlineLevel="1" spans="1:16">
      <c r="A101" s="140">
        <v>85</v>
      </c>
      <c r="B101" s="141" t="s">
        <v>317</v>
      </c>
      <c r="C101" s="141" t="s">
        <v>318</v>
      </c>
      <c r="D101" s="142" t="s">
        <v>93</v>
      </c>
      <c r="E101" s="143">
        <v>400</v>
      </c>
      <c r="F101" s="144">
        <f>P101</f>
        <v>38.44</v>
      </c>
      <c r="G101" s="145">
        <f t="shared" si="15"/>
        <v>15376</v>
      </c>
      <c r="H101" s="141" t="s">
        <v>319</v>
      </c>
      <c r="J101" s="127">
        <f>ROUND(53/1.09,2)</f>
        <v>48.62</v>
      </c>
      <c r="K101" s="151"/>
      <c r="L101" s="115">
        <f>35.22*95%</f>
        <v>33.459</v>
      </c>
      <c r="M101" s="115">
        <v>61.81</v>
      </c>
      <c r="P101" s="130">
        <v>38.44</v>
      </c>
    </row>
    <row r="102" s="109" customFormat="1" ht="72" outlineLevel="1" spans="1:16">
      <c r="A102" s="140">
        <v>86</v>
      </c>
      <c r="B102" s="152" t="s">
        <v>320</v>
      </c>
      <c r="C102" s="152" t="s">
        <v>321</v>
      </c>
      <c r="D102" s="142" t="s">
        <v>93</v>
      </c>
      <c r="E102" s="143">
        <v>400</v>
      </c>
      <c r="F102" s="144">
        <f>P102</f>
        <v>31.74</v>
      </c>
      <c r="G102" s="145">
        <f t="shared" si="15"/>
        <v>12696</v>
      </c>
      <c r="H102" s="141" t="s">
        <v>322</v>
      </c>
      <c r="J102" s="127">
        <f>ROUND(50/1.09,2)</f>
        <v>45.87</v>
      </c>
      <c r="K102" s="151">
        <v>81.76</v>
      </c>
      <c r="L102" s="115">
        <f>24.46*95%</f>
        <v>23.237</v>
      </c>
      <c r="M102" s="115">
        <v>31.99</v>
      </c>
      <c r="P102" s="115">
        <v>31.74</v>
      </c>
    </row>
    <row r="103" s="109" customFormat="1" ht="72" outlineLevel="1" spans="1:16">
      <c r="A103" s="122">
        <v>87</v>
      </c>
      <c r="B103" s="132" t="s">
        <v>323</v>
      </c>
      <c r="C103" s="132" t="s">
        <v>324</v>
      </c>
      <c r="D103" s="158" t="s">
        <v>325</v>
      </c>
      <c r="E103" s="133">
        <v>300</v>
      </c>
      <c r="F103" s="137">
        <f t="shared" si="16"/>
        <v>771.51</v>
      </c>
      <c r="G103" s="124">
        <f t="shared" si="15"/>
        <v>231453</v>
      </c>
      <c r="H103" s="131" t="s">
        <v>326</v>
      </c>
      <c r="J103" s="115"/>
      <c r="K103" s="116"/>
      <c r="L103" s="115"/>
      <c r="M103" s="115">
        <f>ROUND(424.33/0.55,2)</f>
        <v>771.51</v>
      </c>
      <c r="P103" s="115"/>
    </row>
    <row r="104" s="109" customFormat="1" ht="84" outlineLevel="1" spans="1:16">
      <c r="A104" s="122">
        <v>88</v>
      </c>
      <c r="B104" s="132" t="s">
        <v>327</v>
      </c>
      <c r="C104" s="132" t="s">
        <v>328</v>
      </c>
      <c r="D104" s="123" t="s">
        <v>93</v>
      </c>
      <c r="E104" s="133">
        <v>400</v>
      </c>
      <c r="F104" s="137">
        <f t="shared" si="16"/>
        <v>170.06</v>
      </c>
      <c r="G104" s="138">
        <f t="shared" si="15"/>
        <v>68024</v>
      </c>
      <c r="H104" s="132" t="s">
        <v>329</v>
      </c>
      <c r="J104" s="127">
        <f>ROUND(308.86/1.09,2)</f>
        <v>283.36</v>
      </c>
      <c r="K104" s="151">
        <v>219.956666666667</v>
      </c>
      <c r="L104" s="115">
        <f>71.31*95%</f>
        <v>67.7445</v>
      </c>
      <c r="M104" s="115">
        <v>109.19</v>
      </c>
      <c r="P104" s="115"/>
    </row>
    <row r="105" s="109" customFormat="1" outlineLevel="1" spans="1:16">
      <c r="A105" s="187" t="s">
        <v>124</v>
      </c>
      <c r="B105" s="187"/>
      <c r="C105" s="187"/>
      <c r="D105" s="187"/>
      <c r="E105" s="187"/>
      <c r="F105" s="187"/>
      <c r="G105" s="188">
        <f>SUM(G97:G104)</f>
        <v>364421</v>
      </c>
      <c r="H105" s="187"/>
      <c r="J105" s="115"/>
      <c r="K105" s="116"/>
      <c r="L105" s="115"/>
      <c r="M105" s="115"/>
      <c r="P105" s="115"/>
    </row>
    <row r="106" s="109" customFormat="1" outlineLevel="1" spans="1:16">
      <c r="A106" s="187" t="s">
        <v>330</v>
      </c>
      <c r="B106" s="187"/>
      <c r="C106" s="187"/>
      <c r="D106" s="187"/>
      <c r="E106" s="187"/>
      <c r="F106" s="187"/>
      <c r="G106" s="187"/>
      <c r="H106" s="187"/>
      <c r="J106" s="115"/>
      <c r="K106" s="116"/>
      <c r="L106" s="115"/>
      <c r="M106" s="115"/>
      <c r="P106" s="115"/>
    </row>
    <row r="107" s="109" customFormat="1" ht="72" outlineLevel="1" spans="1:16">
      <c r="A107" s="122">
        <v>89</v>
      </c>
      <c r="B107" s="131" t="s">
        <v>331</v>
      </c>
      <c r="C107" s="131" t="s">
        <v>332</v>
      </c>
      <c r="D107" s="123" t="s">
        <v>172</v>
      </c>
      <c r="E107" s="133">
        <v>10</v>
      </c>
      <c r="F107" s="137">
        <f>ROUND(AVERAGE(J107,K107,L107,M107),2)</f>
        <v>144.65</v>
      </c>
      <c r="G107" s="124">
        <f t="shared" ref="G107:G112" si="17">E107*F107</f>
        <v>1446.5</v>
      </c>
      <c r="H107" s="131" t="s">
        <v>258</v>
      </c>
      <c r="J107" s="127">
        <f>ROUND(160/1.09,2)</f>
        <v>146.79</v>
      </c>
      <c r="K107" s="116"/>
      <c r="L107" s="115">
        <f>150*95%</f>
        <v>142.5</v>
      </c>
      <c r="M107" s="115"/>
      <c r="P107" s="115"/>
    </row>
    <row r="108" s="109" customFormat="1" ht="84" outlineLevel="1" spans="1:16">
      <c r="A108" s="122">
        <v>90</v>
      </c>
      <c r="B108" s="131" t="s">
        <v>333</v>
      </c>
      <c r="C108" s="131" t="s">
        <v>334</v>
      </c>
      <c r="D108" s="123" t="s">
        <v>145</v>
      </c>
      <c r="E108" s="133">
        <v>10</v>
      </c>
      <c r="F108" s="137">
        <f>ROUND(AVERAGE(J108,K108,L108,M108),2)</f>
        <v>96.96</v>
      </c>
      <c r="G108" s="124">
        <f t="shared" si="17"/>
        <v>969.6</v>
      </c>
      <c r="H108" s="131" t="s">
        <v>258</v>
      </c>
      <c r="J108" s="127">
        <f>ROUND((65+45)/1.09,2)</f>
        <v>100.92</v>
      </c>
      <c r="K108" s="116"/>
      <c r="L108" s="115">
        <f>97.89*95%</f>
        <v>92.9955</v>
      </c>
      <c r="M108" s="115"/>
      <c r="P108" s="115"/>
    </row>
    <row r="109" s="109" customFormat="1" ht="60" outlineLevel="1" spans="1:16">
      <c r="A109" s="122">
        <v>91</v>
      </c>
      <c r="B109" s="131" t="s">
        <v>335</v>
      </c>
      <c r="C109" s="131" t="s">
        <v>312</v>
      </c>
      <c r="D109" s="123" t="s">
        <v>93</v>
      </c>
      <c r="E109" s="133">
        <v>10</v>
      </c>
      <c r="F109" s="137">
        <f>ROUND(AVERAGE(J109,K109,L109,M109),2)</f>
        <v>29.02</v>
      </c>
      <c r="G109" s="124">
        <f t="shared" si="17"/>
        <v>290.2</v>
      </c>
      <c r="H109" s="131" t="s">
        <v>258</v>
      </c>
      <c r="J109" s="127">
        <f>ROUND(40/1.09,2)</f>
        <v>36.7</v>
      </c>
      <c r="K109" s="116"/>
      <c r="L109" s="115">
        <f>22.46*95%</f>
        <v>21.337</v>
      </c>
      <c r="M109" s="115"/>
      <c r="P109" s="115"/>
    </row>
    <row r="110" s="109" customFormat="1" ht="84" outlineLevel="1" spans="1:16">
      <c r="A110" s="122">
        <v>92</v>
      </c>
      <c r="B110" s="131" t="s">
        <v>336</v>
      </c>
      <c r="C110" s="131" t="s">
        <v>337</v>
      </c>
      <c r="D110" s="123" t="s">
        <v>93</v>
      </c>
      <c r="E110" s="133">
        <v>100</v>
      </c>
      <c r="F110" s="137">
        <f t="shared" ref="F110:F116" si="18">ROUND(AVERAGE(J110,K110,L110,M110),2)</f>
        <v>44.63</v>
      </c>
      <c r="G110" s="124">
        <f t="shared" si="17"/>
        <v>4463</v>
      </c>
      <c r="H110" s="131" t="s">
        <v>338</v>
      </c>
      <c r="J110" s="127">
        <f>ROUND(49/1.09,2)</f>
        <v>44.95</v>
      </c>
      <c r="K110" s="116"/>
      <c r="L110" s="115">
        <f>46.64*95%</f>
        <v>44.308</v>
      </c>
      <c r="M110" s="115"/>
      <c r="P110" s="115"/>
    </row>
    <row r="111" s="109" customFormat="1" ht="84" outlineLevel="1" spans="1:16">
      <c r="A111" s="122">
        <v>93</v>
      </c>
      <c r="B111" s="131" t="s">
        <v>339</v>
      </c>
      <c r="C111" s="131" t="s">
        <v>340</v>
      </c>
      <c r="D111" s="123" t="s">
        <v>93</v>
      </c>
      <c r="E111" s="133">
        <v>100</v>
      </c>
      <c r="F111" s="137">
        <f t="shared" si="18"/>
        <v>61.67</v>
      </c>
      <c r="G111" s="124">
        <f t="shared" si="17"/>
        <v>6167</v>
      </c>
      <c r="H111" s="131" t="s">
        <v>341</v>
      </c>
      <c r="J111" s="127">
        <f>ROUND(53/1.09,2)</f>
        <v>48.62</v>
      </c>
      <c r="K111" s="151">
        <v>109.036666666667</v>
      </c>
      <c r="L111" s="115">
        <f>51.42*95%</f>
        <v>48.849</v>
      </c>
      <c r="M111" s="115">
        <v>40.17</v>
      </c>
      <c r="P111" s="115"/>
    </row>
    <row r="112" s="109" customFormat="1" ht="84" outlineLevel="1" spans="1:16">
      <c r="A112" s="122">
        <v>94</v>
      </c>
      <c r="B112" s="131" t="s">
        <v>327</v>
      </c>
      <c r="C112" s="131" t="s">
        <v>328</v>
      </c>
      <c r="D112" s="123" t="s">
        <v>93</v>
      </c>
      <c r="E112" s="133">
        <v>100</v>
      </c>
      <c r="F112" s="137">
        <f t="shared" si="18"/>
        <v>170.06</v>
      </c>
      <c r="G112" s="124">
        <f t="shared" si="17"/>
        <v>17006</v>
      </c>
      <c r="H112" s="131" t="s">
        <v>329</v>
      </c>
      <c r="J112" s="127">
        <f>ROUND(308.86/1.09,2)</f>
        <v>283.36</v>
      </c>
      <c r="K112" s="151">
        <v>219.956666666667</v>
      </c>
      <c r="L112" s="115">
        <f>71.31*95%</f>
        <v>67.7445</v>
      </c>
      <c r="M112" s="115">
        <v>109.19</v>
      </c>
      <c r="P112" s="115"/>
    </row>
    <row r="113" s="109" customFormat="1" outlineLevel="1" spans="1:16">
      <c r="A113" s="187" t="s">
        <v>124</v>
      </c>
      <c r="B113" s="187"/>
      <c r="C113" s="187"/>
      <c r="D113" s="187"/>
      <c r="E113" s="187"/>
      <c r="F113" s="187"/>
      <c r="G113" s="188">
        <f>SUM(G107:G112)</f>
        <v>30342.3</v>
      </c>
      <c r="H113" s="187"/>
      <c r="J113" s="115"/>
      <c r="K113" s="116"/>
      <c r="L113" s="115"/>
      <c r="M113" s="115"/>
      <c r="P113" s="115"/>
    </row>
    <row r="114" s="109" customFormat="1" outlineLevel="1" spans="1:16">
      <c r="A114" s="187" t="s">
        <v>342</v>
      </c>
      <c r="B114" s="187"/>
      <c r="C114" s="187"/>
      <c r="D114" s="187"/>
      <c r="E114" s="187"/>
      <c r="F114" s="187"/>
      <c r="G114" s="187"/>
      <c r="H114" s="187"/>
      <c r="J114" s="115"/>
      <c r="K114" s="116"/>
      <c r="L114" s="115"/>
      <c r="M114" s="115"/>
      <c r="P114" s="115"/>
    </row>
    <row r="115" s="109" customFormat="1" ht="60" outlineLevel="1" spans="1:16">
      <c r="A115" s="122">
        <v>95</v>
      </c>
      <c r="B115" s="131" t="s">
        <v>311</v>
      </c>
      <c r="C115" s="131" t="s">
        <v>312</v>
      </c>
      <c r="D115" s="123" t="s">
        <v>93</v>
      </c>
      <c r="E115" s="133">
        <v>100</v>
      </c>
      <c r="F115" s="137">
        <f t="shared" si="18"/>
        <v>29.02</v>
      </c>
      <c r="G115" s="124">
        <f t="shared" ref="G115:G119" si="19">E115*F115</f>
        <v>2902</v>
      </c>
      <c r="H115" s="131" t="s">
        <v>258</v>
      </c>
      <c r="J115" s="127">
        <f>ROUND(40/1.09,2)</f>
        <v>36.7</v>
      </c>
      <c r="K115" s="116"/>
      <c r="L115" s="115">
        <f>22.46*95%</f>
        <v>21.337</v>
      </c>
      <c r="M115" s="115"/>
      <c r="P115" s="115"/>
    </row>
    <row r="116" s="109" customFormat="1" ht="84" outlineLevel="1" spans="1:16">
      <c r="A116" s="122">
        <v>96</v>
      </c>
      <c r="B116" s="131" t="s">
        <v>327</v>
      </c>
      <c r="C116" s="132" t="s">
        <v>343</v>
      </c>
      <c r="D116" s="123" t="s">
        <v>93</v>
      </c>
      <c r="E116" s="133">
        <v>50</v>
      </c>
      <c r="F116" s="137">
        <f t="shared" si="18"/>
        <v>170.06</v>
      </c>
      <c r="G116" s="124">
        <f t="shared" si="19"/>
        <v>8503</v>
      </c>
      <c r="H116" s="131" t="s">
        <v>344</v>
      </c>
      <c r="J116" s="127">
        <f>ROUND(308.86/1.09,2)</f>
        <v>283.36</v>
      </c>
      <c r="K116" s="151">
        <v>219.956666666667</v>
      </c>
      <c r="L116" s="115">
        <f>71.31*95%</f>
        <v>67.7445</v>
      </c>
      <c r="M116" s="115">
        <v>109.19</v>
      </c>
      <c r="P116" s="115"/>
    </row>
    <row r="117" s="109" customFormat="1" ht="72" outlineLevel="1" spans="1:16">
      <c r="A117" s="122">
        <v>97</v>
      </c>
      <c r="B117" s="131" t="s">
        <v>345</v>
      </c>
      <c r="C117" s="131" t="s">
        <v>229</v>
      </c>
      <c r="D117" s="123" t="s">
        <v>225</v>
      </c>
      <c r="E117" s="133">
        <v>200</v>
      </c>
      <c r="F117" s="137">
        <f t="shared" ref="F117:F122" si="20">ROUND(AVERAGE(J117,K117,L117,M117),2)</f>
        <v>83.21</v>
      </c>
      <c r="G117" s="124">
        <f t="shared" si="19"/>
        <v>16642</v>
      </c>
      <c r="H117" s="131" t="s">
        <v>258</v>
      </c>
      <c r="J117" s="127">
        <f>ROUND(140/1.09,2)</f>
        <v>128.44</v>
      </c>
      <c r="K117" s="116"/>
      <c r="L117" s="115">
        <f>39.98*95%</f>
        <v>37.981</v>
      </c>
      <c r="M117" s="115"/>
      <c r="P117" s="115"/>
    </row>
    <row r="118" s="109" customFormat="1" ht="84" outlineLevel="1" spans="1:16">
      <c r="A118" s="122">
        <v>98</v>
      </c>
      <c r="B118" s="131" t="s">
        <v>346</v>
      </c>
      <c r="C118" s="131" t="s">
        <v>347</v>
      </c>
      <c r="D118" s="123" t="s">
        <v>257</v>
      </c>
      <c r="E118" s="133">
        <v>50</v>
      </c>
      <c r="F118" s="137">
        <f t="shared" si="20"/>
        <v>10.26</v>
      </c>
      <c r="G118" s="124">
        <f t="shared" si="19"/>
        <v>513</v>
      </c>
      <c r="H118" s="131" t="s">
        <v>348</v>
      </c>
      <c r="J118" s="115"/>
      <c r="K118" s="116"/>
      <c r="L118" s="115">
        <f>15.28*95%</f>
        <v>14.516</v>
      </c>
      <c r="M118" s="115">
        <v>6</v>
      </c>
      <c r="P118" s="115"/>
    </row>
    <row r="119" s="109" customFormat="1" ht="72" outlineLevel="1" spans="1:16">
      <c r="A119" s="122">
        <v>99</v>
      </c>
      <c r="B119" s="131" t="s">
        <v>349</v>
      </c>
      <c r="C119" s="131" t="s">
        <v>229</v>
      </c>
      <c r="D119" s="123" t="s">
        <v>225</v>
      </c>
      <c r="E119" s="133">
        <v>200</v>
      </c>
      <c r="F119" s="137">
        <f t="shared" si="20"/>
        <v>83.21</v>
      </c>
      <c r="G119" s="124">
        <f t="shared" si="19"/>
        <v>16642</v>
      </c>
      <c r="H119" s="131" t="s">
        <v>258</v>
      </c>
      <c r="J119" s="127">
        <f>ROUND(140/1.09,2)</f>
        <v>128.44</v>
      </c>
      <c r="K119" s="116"/>
      <c r="L119" s="115">
        <f>39.98*95%</f>
        <v>37.981</v>
      </c>
      <c r="M119" s="115"/>
      <c r="P119" s="115"/>
    </row>
    <row r="120" s="109" customFormat="1" ht="13.5" outlineLevel="1" spans="1:16">
      <c r="A120" s="150" t="s">
        <v>124</v>
      </c>
      <c r="B120" s="150"/>
      <c r="C120" s="150"/>
      <c r="D120" s="150"/>
      <c r="E120" s="150"/>
      <c r="F120" s="150"/>
      <c r="G120" s="159">
        <f>SUM(G115:G119)</f>
        <v>45202</v>
      </c>
      <c r="H120" s="150"/>
      <c r="J120" s="115"/>
      <c r="K120" s="116"/>
      <c r="L120" s="115"/>
      <c r="M120" s="115"/>
      <c r="P120" s="115"/>
    </row>
    <row r="121" s="109" customFormat="1" ht="13.5" outlineLevel="1" spans="1:16">
      <c r="A121" s="150" t="s">
        <v>350</v>
      </c>
      <c r="B121" s="150"/>
      <c r="C121" s="150"/>
      <c r="D121" s="150"/>
      <c r="E121" s="150"/>
      <c r="F121" s="150"/>
      <c r="G121" s="150"/>
      <c r="H121" s="150"/>
      <c r="J121" s="115"/>
      <c r="K121" s="116"/>
      <c r="L121" s="115"/>
      <c r="M121" s="115"/>
      <c r="P121" s="115"/>
    </row>
    <row r="122" s="109" customFormat="1" ht="60" outlineLevel="1" spans="1:16">
      <c r="A122" s="122">
        <v>100</v>
      </c>
      <c r="B122" s="131" t="s">
        <v>311</v>
      </c>
      <c r="C122" s="131" t="s">
        <v>312</v>
      </c>
      <c r="D122" s="123" t="s">
        <v>93</v>
      </c>
      <c r="E122" s="133">
        <v>50</v>
      </c>
      <c r="F122" s="137">
        <f t="shared" si="20"/>
        <v>29.02</v>
      </c>
      <c r="G122" s="124">
        <f t="shared" ref="G122:G128" si="21">E122*F122</f>
        <v>1451</v>
      </c>
      <c r="H122" s="131" t="s">
        <v>258</v>
      </c>
      <c r="J122" s="127">
        <f>ROUND(40/1.09,2)</f>
        <v>36.7</v>
      </c>
      <c r="K122" s="116"/>
      <c r="L122" s="115">
        <f>22.46*95%</f>
        <v>21.337</v>
      </c>
      <c r="M122" s="115"/>
      <c r="P122" s="115"/>
    </row>
    <row r="123" s="109" customFormat="1" ht="84" outlineLevel="1" spans="1:16">
      <c r="A123" s="122">
        <v>101</v>
      </c>
      <c r="B123" s="131" t="s">
        <v>336</v>
      </c>
      <c r="C123" s="131" t="s">
        <v>337</v>
      </c>
      <c r="D123" s="123" t="s">
        <v>93</v>
      </c>
      <c r="E123" s="133">
        <v>50</v>
      </c>
      <c r="F123" s="137">
        <f t="shared" ref="F123:F128" si="22">ROUND(AVERAGE(J123,K123,L123,M123),2)</f>
        <v>44.63</v>
      </c>
      <c r="G123" s="124">
        <f t="shared" si="21"/>
        <v>2231.5</v>
      </c>
      <c r="H123" s="131" t="s">
        <v>338</v>
      </c>
      <c r="J123" s="127">
        <f>ROUND(49/1.09,2)</f>
        <v>44.95</v>
      </c>
      <c r="K123" s="116"/>
      <c r="L123" s="115">
        <f>46.64*95%</f>
        <v>44.308</v>
      </c>
      <c r="M123" s="115"/>
      <c r="P123" s="115"/>
    </row>
    <row r="124" s="109" customFormat="1" ht="84" outlineLevel="1" spans="1:16">
      <c r="A124" s="122">
        <v>102</v>
      </c>
      <c r="B124" s="131" t="s">
        <v>315</v>
      </c>
      <c r="C124" s="131" t="s">
        <v>316</v>
      </c>
      <c r="D124" s="123" t="s">
        <v>93</v>
      </c>
      <c r="E124" s="133">
        <v>50</v>
      </c>
      <c r="F124" s="137">
        <f t="shared" si="22"/>
        <v>18.99</v>
      </c>
      <c r="G124" s="124">
        <f t="shared" si="21"/>
        <v>949.5</v>
      </c>
      <c r="H124" s="131" t="s">
        <v>258</v>
      </c>
      <c r="J124" s="127">
        <f>ROUND(30/1.09,2)</f>
        <v>27.52</v>
      </c>
      <c r="K124" s="116"/>
      <c r="L124" s="115">
        <f>11.01*95%</f>
        <v>10.4595</v>
      </c>
      <c r="M124" s="115"/>
      <c r="P124" s="115"/>
    </row>
    <row r="125" s="109" customFormat="1" ht="72" outlineLevel="1" spans="1:16">
      <c r="A125" s="140">
        <v>103</v>
      </c>
      <c r="B125" s="152" t="s">
        <v>351</v>
      </c>
      <c r="C125" s="152" t="s">
        <v>352</v>
      </c>
      <c r="D125" s="142" t="s">
        <v>93</v>
      </c>
      <c r="E125" s="143">
        <v>50</v>
      </c>
      <c r="F125" s="144">
        <f>P125</f>
        <v>31.74</v>
      </c>
      <c r="G125" s="145">
        <f t="shared" si="21"/>
        <v>1587</v>
      </c>
      <c r="H125" s="141" t="s">
        <v>322</v>
      </c>
      <c r="J125" s="127">
        <f>ROUND(50/1.09,2)</f>
        <v>45.87</v>
      </c>
      <c r="K125" s="151">
        <v>81.76</v>
      </c>
      <c r="L125" s="115">
        <f>24.46*95%</f>
        <v>23.237</v>
      </c>
      <c r="M125" s="115">
        <v>31.99</v>
      </c>
      <c r="P125" s="115">
        <v>31.74</v>
      </c>
    </row>
    <row r="126" s="109" customFormat="1" ht="96" outlineLevel="1" spans="1:16">
      <c r="A126" s="140">
        <v>104</v>
      </c>
      <c r="B126" s="141" t="s">
        <v>317</v>
      </c>
      <c r="C126" s="141" t="s">
        <v>318</v>
      </c>
      <c r="D126" s="142" t="s">
        <v>93</v>
      </c>
      <c r="E126" s="143">
        <v>50</v>
      </c>
      <c r="F126" s="144">
        <f>P126</f>
        <v>38.44</v>
      </c>
      <c r="G126" s="145">
        <f t="shared" si="21"/>
        <v>1922</v>
      </c>
      <c r="H126" s="141" t="s">
        <v>319</v>
      </c>
      <c r="J126" s="127">
        <f>ROUND(53/1.09,2)</f>
        <v>48.62</v>
      </c>
      <c r="K126" s="151">
        <v>109.036666666667</v>
      </c>
      <c r="L126" s="115">
        <f>35.22*95%</f>
        <v>33.459</v>
      </c>
      <c r="M126" s="115">
        <v>61.81</v>
      </c>
      <c r="P126" s="130">
        <v>38.44</v>
      </c>
    </row>
    <row r="127" s="109" customFormat="1" ht="96" outlineLevel="1" spans="1:16">
      <c r="A127" s="122">
        <v>105</v>
      </c>
      <c r="B127" s="132" t="s">
        <v>327</v>
      </c>
      <c r="C127" s="132" t="s">
        <v>353</v>
      </c>
      <c r="D127" s="123" t="s">
        <v>93</v>
      </c>
      <c r="E127" s="133">
        <v>50</v>
      </c>
      <c r="F127" s="134">
        <f>F116</f>
        <v>170.06</v>
      </c>
      <c r="G127" s="124">
        <f t="shared" si="21"/>
        <v>8503</v>
      </c>
      <c r="H127" s="131" t="s">
        <v>329</v>
      </c>
      <c r="J127" s="127">
        <f>ROUND(308.86/1.09,2)</f>
        <v>283.36</v>
      </c>
      <c r="K127" s="151">
        <v>219.956666666667</v>
      </c>
      <c r="L127" s="115">
        <f>133.11*95%</f>
        <v>126.4545</v>
      </c>
      <c r="M127" s="115">
        <v>109.19</v>
      </c>
      <c r="P127" s="115"/>
    </row>
    <row r="128" s="109" customFormat="1" ht="96" outlineLevel="1" spans="1:16">
      <c r="A128" s="122">
        <v>106</v>
      </c>
      <c r="B128" s="131" t="s">
        <v>354</v>
      </c>
      <c r="C128" s="132" t="s">
        <v>355</v>
      </c>
      <c r="D128" s="123" t="s">
        <v>93</v>
      </c>
      <c r="E128" s="133">
        <v>50</v>
      </c>
      <c r="F128" s="137">
        <f t="shared" si="22"/>
        <v>19.8</v>
      </c>
      <c r="G128" s="124">
        <f t="shared" si="21"/>
        <v>990</v>
      </c>
      <c r="H128" s="131" t="s">
        <v>258</v>
      </c>
      <c r="J128" s="127">
        <f>ROUND(12/1.09,2)</f>
        <v>11.01</v>
      </c>
      <c r="K128" s="116"/>
      <c r="L128" s="115">
        <f>30.1*95%</f>
        <v>28.595</v>
      </c>
      <c r="M128" s="115"/>
      <c r="P128" s="115"/>
    </row>
    <row r="129" s="109" customFormat="1" outlineLevel="1" spans="1:16">
      <c r="A129" s="187" t="s">
        <v>124</v>
      </c>
      <c r="B129" s="187"/>
      <c r="C129" s="187"/>
      <c r="D129" s="187"/>
      <c r="E129" s="187"/>
      <c r="F129" s="187"/>
      <c r="G129" s="188">
        <f>SUM(G122:G128)</f>
        <v>17634</v>
      </c>
      <c r="H129" s="187"/>
      <c r="J129" s="115"/>
      <c r="K129" s="116"/>
      <c r="L129" s="115"/>
      <c r="M129" s="115"/>
      <c r="P129" s="115"/>
    </row>
    <row r="130" s="109" customFormat="1" outlineLevel="1" spans="1:16">
      <c r="A130" s="187" t="s">
        <v>356</v>
      </c>
      <c r="B130" s="187"/>
      <c r="C130" s="187"/>
      <c r="D130" s="187"/>
      <c r="E130" s="187"/>
      <c r="F130" s="187"/>
      <c r="G130" s="187"/>
      <c r="H130" s="187"/>
      <c r="J130" s="115"/>
      <c r="K130" s="116"/>
      <c r="L130" s="115"/>
      <c r="M130" s="115"/>
      <c r="P130" s="115"/>
    </row>
    <row r="131" s="109" customFormat="1" ht="72" outlineLevel="1" spans="1:16">
      <c r="A131" s="140">
        <v>107</v>
      </c>
      <c r="B131" s="141" t="s">
        <v>357</v>
      </c>
      <c r="C131" s="141" t="s">
        <v>358</v>
      </c>
      <c r="D131" s="158" t="s">
        <v>100</v>
      </c>
      <c r="E131" s="143">
        <v>50</v>
      </c>
      <c r="F131" s="144">
        <f>P131</f>
        <v>20.96</v>
      </c>
      <c r="G131" s="145">
        <f t="shared" ref="G131:G134" si="23">E131*F131</f>
        <v>1048</v>
      </c>
      <c r="H131" s="141" t="s">
        <v>258</v>
      </c>
      <c r="J131" s="127">
        <f>ROUND(98/1.09,2)</f>
        <v>89.91</v>
      </c>
      <c r="K131" s="151">
        <v>44.6433333333333</v>
      </c>
      <c r="L131" s="115">
        <f>6*95%</f>
        <v>5.7</v>
      </c>
      <c r="M131" s="115"/>
      <c r="P131" s="115">
        <v>20.96</v>
      </c>
    </row>
    <row r="132" s="109" customFormat="1" ht="60" outlineLevel="1" spans="1:16">
      <c r="A132" s="122">
        <v>108</v>
      </c>
      <c r="B132" s="131" t="s">
        <v>359</v>
      </c>
      <c r="C132" s="131" t="s">
        <v>360</v>
      </c>
      <c r="D132" s="123" t="s">
        <v>93</v>
      </c>
      <c r="E132" s="133">
        <v>50</v>
      </c>
      <c r="F132" s="137">
        <f>ROUND(AVERAGE(J132,K132,L132,M131),2)</f>
        <v>34.32</v>
      </c>
      <c r="G132" s="124">
        <f t="shared" si="23"/>
        <v>1716</v>
      </c>
      <c r="H132" s="131" t="s">
        <v>361</v>
      </c>
      <c r="J132" s="127">
        <f>ROUND(49/1.09,2)</f>
        <v>44.95</v>
      </c>
      <c r="K132" s="116"/>
      <c r="L132" s="115">
        <f>24.94*95%</f>
        <v>23.693</v>
      </c>
      <c r="P132" s="115"/>
    </row>
    <row r="133" s="109" customFormat="1" ht="72" outlineLevel="1" spans="1:16">
      <c r="A133" s="140">
        <v>109</v>
      </c>
      <c r="B133" s="141" t="s">
        <v>362</v>
      </c>
      <c r="C133" s="141" t="s">
        <v>363</v>
      </c>
      <c r="D133" s="142" t="s">
        <v>364</v>
      </c>
      <c r="E133" s="143">
        <v>50</v>
      </c>
      <c r="F133" s="144">
        <f>P133</f>
        <v>25.44</v>
      </c>
      <c r="G133" s="145">
        <f t="shared" si="23"/>
        <v>1272</v>
      </c>
      <c r="H133" s="141" t="s">
        <v>258</v>
      </c>
      <c r="J133" s="127">
        <f>ROUND(26/1.09,2)</f>
        <v>23.85</v>
      </c>
      <c r="K133" s="116"/>
      <c r="L133" s="115">
        <f>11*95%</f>
        <v>10.45</v>
      </c>
      <c r="M133" s="151">
        <v>206.423333333333</v>
      </c>
      <c r="P133" s="115">
        <v>25.44</v>
      </c>
    </row>
    <row r="134" s="109" customFormat="1" ht="96" outlineLevel="1" spans="1:16">
      <c r="A134" s="140">
        <v>110</v>
      </c>
      <c r="B134" s="141" t="s">
        <v>365</v>
      </c>
      <c r="C134" s="152" t="s">
        <v>366</v>
      </c>
      <c r="D134" s="142" t="s">
        <v>93</v>
      </c>
      <c r="E134" s="143">
        <v>50</v>
      </c>
      <c r="F134" s="144">
        <f>P134</f>
        <v>50.31</v>
      </c>
      <c r="G134" s="145">
        <f t="shared" si="23"/>
        <v>2515.5</v>
      </c>
      <c r="H134" s="141" t="s">
        <v>367</v>
      </c>
      <c r="J134" s="127">
        <f>ROUND(110/1.09,2)</f>
        <v>100.92</v>
      </c>
      <c r="K134" s="151">
        <v>55.308</v>
      </c>
      <c r="L134" s="115">
        <f>24.85*95%</f>
        <v>23.6075</v>
      </c>
      <c r="M134" s="151">
        <v>55.308</v>
      </c>
      <c r="P134" s="115">
        <v>50.31</v>
      </c>
    </row>
    <row r="135" s="109" customFormat="1" outlineLevel="1" spans="1:16">
      <c r="A135" s="187" t="s">
        <v>124</v>
      </c>
      <c r="B135" s="187"/>
      <c r="C135" s="187"/>
      <c r="D135" s="187"/>
      <c r="E135" s="187"/>
      <c r="F135" s="187"/>
      <c r="G135" s="188">
        <f>SUM(G131:G134)</f>
        <v>6551.5</v>
      </c>
      <c r="H135" s="187"/>
      <c r="J135" s="115"/>
      <c r="K135" s="116"/>
      <c r="L135" s="115"/>
      <c r="M135" s="115"/>
      <c r="P135" s="115"/>
    </row>
    <row r="136" s="109" customFormat="1" outlineLevel="1" spans="1:16">
      <c r="A136" s="187" t="s">
        <v>368</v>
      </c>
      <c r="B136" s="187"/>
      <c r="C136" s="187"/>
      <c r="D136" s="187"/>
      <c r="E136" s="187"/>
      <c r="F136" s="187"/>
      <c r="G136" s="187"/>
      <c r="H136" s="187"/>
      <c r="J136" s="115"/>
      <c r="K136" s="116"/>
      <c r="L136" s="115"/>
      <c r="M136" s="115"/>
      <c r="P136" s="115"/>
    </row>
    <row r="137" s="109" customFormat="1" ht="60" outlineLevel="1" spans="1:16">
      <c r="A137" s="122">
        <v>111</v>
      </c>
      <c r="B137" s="131" t="s">
        <v>369</v>
      </c>
      <c r="C137" s="131" t="s">
        <v>370</v>
      </c>
      <c r="D137" s="123" t="s">
        <v>93</v>
      </c>
      <c r="E137" s="133">
        <v>50</v>
      </c>
      <c r="F137" s="137">
        <f>ROUND(AVERAGE(J137,K137,L137,M137),2)</f>
        <v>11.65</v>
      </c>
      <c r="G137" s="124">
        <f t="shared" ref="G137:G140" si="24">E137*F137</f>
        <v>582.5</v>
      </c>
      <c r="H137" s="131" t="s">
        <v>258</v>
      </c>
      <c r="J137" s="127">
        <f>ROUND(12/1.09,2)</f>
        <v>11.01</v>
      </c>
      <c r="K137" s="116"/>
      <c r="L137" s="115">
        <f>12.94*95%</f>
        <v>12.293</v>
      </c>
      <c r="M137" s="115"/>
      <c r="P137" s="115"/>
    </row>
    <row r="138" s="109" customFormat="1" ht="72" outlineLevel="1" spans="1:16">
      <c r="A138" s="122">
        <v>112</v>
      </c>
      <c r="B138" s="131" t="s">
        <v>371</v>
      </c>
      <c r="C138" s="131" t="s">
        <v>372</v>
      </c>
      <c r="D138" s="123" t="s">
        <v>93</v>
      </c>
      <c r="E138" s="133">
        <v>50</v>
      </c>
      <c r="F138" s="137">
        <f t="shared" ref="F138:F143" si="25">ROUND(AVERAGE(J138,K138,L138,M138),2)</f>
        <v>28.71</v>
      </c>
      <c r="G138" s="124">
        <f t="shared" si="24"/>
        <v>1435.5</v>
      </c>
      <c r="H138" s="131" t="s">
        <v>373</v>
      </c>
      <c r="J138" s="127">
        <f>ROUND(49/1.09,2)</f>
        <v>44.95</v>
      </c>
      <c r="K138" s="116"/>
      <c r="L138" s="115">
        <f>13.12*95%</f>
        <v>12.464</v>
      </c>
      <c r="M138" s="115"/>
      <c r="P138" s="115"/>
    </row>
    <row r="139" s="109" customFormat="1" ht="96" outlineLevel="1" spans="1:16">
      <c r="A139" s="122">
        <v>113</v>
      </c>
      <c r="B139" s="131" t="s">
        <v>374</v>
      </c>
      <c r="C139" s="131" t="s">
        <v>375</v>
      </c>
      <c r="D139" s="123" t="s">
        <v>93</v>
      </c>
      <c r="E139" s="133">
        <v>50</v>
      </c>
      <c r="F139" s="137">
        <f t="shared" si="25"/>
        <v>38.5</v>
      </c>
      <c r="G139" s="124">
        <f t="shared" si="24"/>
        <v>1925</v>
      </c>
      <c r="H139" s="131" t="s">
        <v>344</v>
      </c>
      <c r="J139" s="127">
        <f>ROUND(57/1.09,2)</f>
        <v>52.29</v>
      </c>
      <c r="K139" s="151">
        <v>33.696</v>
      </c>
      <c r="L139" s="115">
        <f>34.53*95%</f>
        <v>32.8035</v>
      </c>
      <c r="M139" s="115">
        <v>35.23</v>
      </c>
      <c r="P139" s="115"/>
    </row>
    <row r="140" s="109" customFormat="1" ht="96" outlineLevel="1" spans="1:16">
      <c r="A140" s="140">
        <v>114</v>
      </c>
      <c r="B140" s="141" t="s">
        <v>365</v>
      </c>
      <c r="C140" s="152" t="s">
        <v>376</v>
      </c>
      <c r="D140" s="142" t="s">
        <v>93</v>
      </c>
      <c r="E140" s="143">
        <v>50</v>
      </c>
      <c r="F140" s="144">
        <f>P140</f>
        <v>41.54</v>
      </c>
      <c r="G140" s="145">
        <f t="shared" si="24"/>
        <v>2077</v>
      </c>
      <c r="H140" s="141" t="s">
        <v>136</v>
      </c>
      <c r="J140" s="127">
        <f>ROUND(110/1.09,2)</f>
        <v>100.92</v>
      </c>
      <c r="K140" s="151">
        <v>42.22</v>
      </c>
      <c r="L140" s="115">
        <f>24.85*95%</f>
        <v>23.6075</v>
      </c>
      <c r="M140" s="115">
        <v>24.59</v>
      </c>
      <c r="P140" s="115">
        <v>41.54</v>
      </c>
    </row>
    <row r="141" s="109" customFormat="1" ht="12" outlineLevel="1" spans="1:16">
      <c r="A141" s="172" t="s">
        <v>124</v>
      </c>
      <c r="B141" s="172"/>
      <c r="C141" s="172"/>
      <c r="D141" s="172"/>
      <c r="E141" s="172"/>
      <c r="F141" s="172"/>
      <c r="G141" s="122">
        <f>SUM(G137:G140)</f>
        <v>6020</v>
      </c>
      <c r="H141" s="172"/>
      <c r="J141" s="115"/>
      <c r="K141" s="116"/>
      <c r="L141" s="115"/>
      <c r="M141" s="115"/>
      <c r="P141" s="115"/>
    </row>
    <row r="142" s="109" customFormat="1" ht="12" outlineLevel="1" spans="1:16">
      <c r="A142" s="172" t="s">
        <v>377</v>
      </c>
      <c r="B142" s="172"/>
      <c r="C142" s="172"/>
      <c r="D142" s="172"/>
      <c r="E142" s="172"/>
      <c r="F142" s="172"/>
      <c r="G142" s="172"/>
      <c r="H142" s="172"/>
      <c r="J142" s="115"/>
      <c r="K142" s="116"/>
      <c r="L142" s="115"/>
      <c r="M142" s="115"/>
      <c r="P142" s="115"/>
    </row>
    <row r="143" s="109" customFormat="1" ht="72" outlineLevel="1" spans="1:16">
      <c r="A143" s="122">
        <v>115</v>
      </c>
      <c r="B143" s="131" t="s">
        <v>378</v>
      </c>
      <c r="C143" s="131" t="s">
        <v>379</v>
      </c>
      <c r="D143" s="123" t="s">
        <v>93</v>
      </c>
      <c r="E143" s="133">
        <v>200</v>
      </c>
      <c r="F143" s="137">
        <f t="shared" si="25"/>
        <v>7.44</v>
      </c>
      <c r="G143" s="124">
        <f t="shared" ref="G143:G145" si="26">E143*F143</f>
        <v>1488</v>
      </c>
      <c r="H143" s="131" t="s">
        <v>380</v>
      </c>
      <c r="J143" s="127">
        <f>ROUND(12/1.09,2)</f>
        <v>11.01</v>
      </c>
      <c r="K143" s="116"/>
      <c r="L143" s="115">
        <f>4.07*95%</f>
        <v>3.8665</v>
      </c>
      <c r="M143" s="115"/>
      <c r="P143" s="115"/>
    </row>
    <row r="144" s="109" customFormat="1" ht="60" outlineLevel="1" spans="1:16">
      <c r="A144" s="122">
        <v>116</v>
      </c>
      <c r="B144" s="131" t="s">
        <v>381</v>
      </c>
      <c r="C144" s="131" t="s">
        <v>370</v>
      </c>
      <c r="D144" s="123" t="s">
        <v>93</v>
      </c>
      <c r="E144" s="133">
        <v>200</v>
      </c>
      <c r="F144" s="137">
        <f t="shared" ref="F144:F151" si="27">ROUND(AVERAGE(J144,K144,L144,M144),2)</f>
        <v>11.65</v>
      </c>
      <c r="G144" s="124">
        <f t="shared" si="26"/>
        <v>2330</v>
      </c>
      <c r="H144" s="131" t="s">
        <v>258</v>
      </c>
      <c r="J144" s="127">
        <f>ROUND(12/1.09,2)</f>
        <v>11.01</v>
      </c>
      <c r="K144" s="116"/>
      <c r="L144" s="115">
        <f>12.94*95%</f>
        <v>12.293</v>
      </c>
      <c r="M144" s="115"/>
      <c r="P144" s="115"/>
    </row>
    <row r="145" s="109" customFormat="1" ht="96" outlineLevel="1" spans="1:16">
      <c r="A145" s="140">
        <v>117</v>
      </c>
      <c r="B145" s="141" t="s">
        <v>365</v>
      </c>
      <c r="C145" s="141" t="s">
        <v>382</v>
      </c>
      <c r="D145" s="142" t="s">
        <v>93</v>
      </c>
      <c r="E145" s="143">
        <v>200</v>
      </c>
      <c r="F145" s="144">
        <f>P145</f>
        <v>41.54</v>
      </c>
      <c r="G145" s="145">
        <f t="shared" si="26"/>
        <v>8308</v>
      </c>
      <c r="H145" s="141" t="s">
        <v>136</v>
      </c>
      <c r="J145" s="127">
        <f>ROUND(110/1.09,2)</f>
        <v>100.92</v>
      </c>
      <c r="K145" s="135">
        <v>56.5286666666667</v>
      </c>
      <c r="L145" s="115">
        <f>24.85*95%</f>
        <v>23.6075</v>
      </c>
      <c r="M145" s="115">
        <v>24.59</v>
      </c>
      <c r="P145" s="115">
        <v>41.54</v>
      </c>
    </row>
    <row r="146" s="109" customFormat="1" ht="12" outlineLevel="1" spans="1:16">
      <c r="A146" s="122" t="s">
        <v>124</v>
      </c>
      <c r="B146" s="122"/>
      <c r="C146" s="122"/>
      <c r="D146" s="122"/>
      <c r="E146" s="122"/>
      <c r="F146" s="122"/>
      <c r="G146" s="124">
        <f>SUM(G143:G145)</f>
        <v>12126</v>
      </c>
      <c r="H146" s="131"/>
      <c r="J146" s="115"/>
      <c r="K146" s="116"/>
      <c r="L146" s="115"/>
      <c r="M146" s="115"/>
      <c r="P146" s="115"/>
    </row>
    <row r="147" s="109" customFormat="1" outlineLevel="1" spans="1:16">
      <c r="A147" s="187" t="s">
        <v>383</v>
      </c>
      <c r="B147" s="187"/>
      <c r="C147" s="187"/>
      <c r="D147" s="187"/>
      <c r="E147" s="187"/>
      <c r="F147" s="187"/>
      <c r="G147" s="187"/>
      <c r="H147" s="187"/>
      <c r="J147" s="115"/>
      <c r="K147" s="116"/>
      <c r="L147" s="115"/>
      <c r="M147" s="115"/>
      <c r="P147" s="115"/>
    </row>
    <row r="148" s="109" customFormat="1" ht="60" outlineLevel="1" spans="1:16">
      <c r="A148" s="122">
        <v>118</v>
      </c>
      <c r="B148" s="131" t="s">
        <v>384</v>
      </c>
      <c r="C148" s="131" t="s">
        <v>370</v>
      </c>
      <c r="D148" s="123" t="s">
        <v>93</v>
      </c>
      <c r="E148" s="133">
        <v>50</v>
      </c>
      <c r="F148" s="137">
        <f t="shared" si="27"/>
        <v>11.65</v>
      </c>
      <c r="G148" s="124">
        <f>E148*F148</f>
        <v>582.5</v>
      </c>
      <c r="H148" s="131" t="s">
        <v>258</v>
      </c>
      <c r="J148" s="127">
        <f>ROUND(12/1.09,2)</f>
        <v>11.01</v>
      </c>
      <c r="K148" s="116"/>
      <c r="L148" s="115">
        <f>12.94*95%</f>
        <v>12.293</v>
      </c>
      <c r="M148" s="115"/>
      <c r="P148" s="115"/>
    </row>
    <row r="149" s="109" customFormat="1" ht="72" outlineLevel="1" spans="1:16">
      <c r="A149" s="122">
        <v>119</v>
      </c>
      <c r="B149" s="131" t="s">
        <v>385</v>
      </c>
      <c r="C149" s="131" t="s">
        <v>386</v>
      </c>
      <c r="D149" s="123" t="s">
        <v>93</v>
      </c>
      <c r="E149" s="133">
        <v>100</v>
      </c>
      <c r="F149" s="137">
        <f t="shared" si="27"/>
        <v>37.98</v>
      </c>
      <c r="G149" s="124">
        <f>E149*F149</f>
        <v>3798</v>
      </c>
      <c r="H149" s="131" t="s">
        <v>361</v>
      </c>
      <c r="J149" s="127">
        <f>ROUND(49/1.09,2)</f>
        <v>44.95</v>
      </c>
      <c r="K149" s="116"/>
      <c r="L149" s="115">
        <f>32.64*95%</f>
        <v>31.008</v>
      </c>
      <c r="M149" s="115"/>
      <c r="P149" s="115"/>
    </row>
    <row r="150" s="109" customFormat="1" ht="96" outlineLevel="1" spans="1:16">
      <c r="A150" s="122">
        <v>120</v>
      </c>
      <c r="B150" s="132" t="s">
        <v>387</v>
      </c>
      <c r="C150" s="132" t="s">
        <v>388</v>
      </c>
      <c r="D150" s="123" t="s">
        <v>93</v>
      </c>
      <c r="E150" s="133">
        <v>50</v>
      </c>
      <c r="F150" s="137">
        <f t="shared" si="27"/>
        <v>83.2</v>
      </c>
      <c r="G150" s="124">
        <f>E150*F150</f>
        <v>4160</v>
      </c>
      <c r="H150" s="131" t="s">
        <v>389</v>
      </c>
      <c r="J150" s="127">
        <f>ROUND(55.15/1.09,2)</f>
        <v>50.6</v>
      </c>
      <c r="K150" s="151">
        <v>155.283333333333</v>
      </c>
      <c r="L150" s="115">
        <f>29.95*95%</f>
        <v>28.4525</v>
      </c>
      <c r="M150" s="115">
        <f>47.06+51.39</f>
        <v>98.45</v>
      </c>
      <c r="P150" s="115"/>
    </row>
    <row r="151" s="109" customFormat="1" ht="84" outlineLevel="1" spans="1:16">
      <c r="A151" s="140">
        <v>121</v>
      </c>
      <c r="B151" s="141" t="s">
        <v>365</v>
      </c>
      <c r="C151" s="189" t="s">
        <v>390</v>
      </c>
      <c r="D151" s="142" t="s">
        <v>93</v>
      </c>
      <c r="E151" s="143">
        <v>50</v>
      </c>
      <c r="F151" s="144">
        <f>P151</f>
        <v>107.09</v>
      </c>
      <c r="G151" s="145">
        <f>E151*F151</f>
        <v>5354.5</v>
      </c>
      <c r="H151" s="141" t="s">
        <v>391</v>
      </c>
      <c r="J151" s="127">
        <f>ROUND(110/1.09,2)</f>
        <v>100.92</v>
      </c>
      <c r="K151" s="135">
        <v>56.5286666666667</v>
      </c>
      <c r="L151" s="115">
        <f>41.74*95%</f>
        <v>39.653</v>
      </c>
      <c r="M151" s="115">
        <v>24.59</v>
      </c>
      <c r="P151" s="130">
        <v>107.09</v>
      </c>
    </row>
    <row r="152" s="109" customFormat="1" ht="12" outlineLevel="1" spans="1:16">
      <c r="A152" s="172" t="s">
        <v>124</v>
      </c>
      <c r="B152" s="172"/>
      <c r="C152" s="172"/>
      <c r="D152" s="172"/>
      <c r="E152" s="172"/>
      <c r="F152" s="172"/>
      <c r="G152" s="122">
        <f>SUM(G148:G151)</f>
        <v>13895</v>
      </c>
      <c r="H152" s="172"/>
      <c r="J152" s="115"/>
      <c r="K152" s="116"/>
      <c r="L152" s="115"/>
      <c r="M152" s="115"/>
      <c r="P152" s="115"/>
    </row>
    <row r="153" s="109" customFormat="1" ht="12" outlineLevel="1" spans="1:16">
      <c r="A153" s="172" t="s">
        <v>392</v>
      </c>
      <c r="B153" s="172"/>
      <c r="C153" s="172"/>
      <c r="D153" s="172"/>
      <c r="E153" s="172"/>
      <c r="F153" s="172"/>
      <c r="G153" s="122">
        <f>G152+G146+G141+G135+G129+G120+G113+G105</f>
        <v>496191.8</v>
      </c>
      <c r="H153" s="172"/>
      <c r="J153" s="115"/>
      <c r="K153" s="116"/>
      <c r="L153" s="115"/>
      <c r="M153" s="115"/>
      <c r="P153" s="115"/>
    </row>
    <row r="154" s="109" customFormat="1" ht="14.25" spans="1:16">
      <c r="A154" s="126" t="s">
        <v>393</v>
      </c>
      <c r="B154" s="126"/>
      <c r="C154" s="126"/>
      <c r="D154" s="126"/>
      <c r="E154" s="126"/>
      <c r="F154" s="126"/>
      <c r="G154" s="126"/>
      <c r="H154" s="126"/>
      <c r="J154" s="115"/>
      <c r="K154" s="116"/>
      <c r="L154" s="115"/>
      <c r="M154" s="115"/>
      <c r="P154" s="115"/>
    </row>
    <row r="155" s="109" customFormat="1" ht="72" outlineLevel="1" spans="1:16">
      <c r="A155" s="122">
        <v>122</v>
      </c>
      <c r="B155" s="131" t="s">
        <v>394</v>
      </c>
      <c r="C155" s="131" t="s">
        <v>395</v>
      </c>
      <c r="D155" s="123" t="s">
        <v>93</v>
      </c>
      <c r="E155" s="133">
        <v>200</v>
      </c>
      <c r="F155" s="137">
        <f>ROUND(AVERAGE(J155,K155,L155,M155),2)</f>
        <v>140.15</v>
      </c>
      <c r="G155" s="124">
        <f>E155*F155</f>
        <v>28030</v>
      </c>
      <c r="H155" s="139" t="s">
        <v>396</v>
      </c>
      <c r="J155" s="127">
        <f>ROUND(98/1.09,2)</f>
        <v>89.91</v>
      </c>
      <c r="K155" s="116"/>
      <c r="L155" s="115">
        <f>200.42*95%</f>
        <v>190.399</v>
      </c>
      <c r="M155" s="115"/>
      <c r="P155" s="115"/>
    </row>
    <row r="156" s="109" customFormat="1" ht="96" outlineLevel="1" spans="1:16">
      <c r="A156" s="122">
        <v>123</v>
      </c>
      <c r="B156" s="131" t="s">
        <v>397</v>
      </c>
      <c r="C156" s="131" t="s">
        <v>148</v>
      </c>
      <c r="D156" s="156" t="s">
        <v>149</v>
      </c>
      <c r="E156" s="133">
        <v>50</v>
      </c>
      <c r="F156" s="137">
        <f>ROUND(AVERAGE(J156,K156,L156,M156),2)</f>
        <v>14.95</v>
      </c>
      <c r="G156" s="124">
        <f>E156*F156</f>
        <v>747.5</v>
      </c>
      <c r="H156" s="131" t="s">
        <v>150</v>
      </c>
      <c r="J156" s="127">
        <f>ROUND(18/1.09,2)</f>
        <v>16.51</v>
      </c>
      <c r="K156" s="116"/>
      <c r="L156" s="115">
        <f>14.09*95%</f>
        <v>13.3855</v>
      </c>
      <c r="M156" s="115"/>
      <c r="P156" s="115"/>
    </row>
    <row r="157" s="109" customFormat="1" ht="96" outlineLevel="1" spans="1:16">
      <c r="A157" s="140">
        <v>124</v>
      </c>
      <c r="B157" s="157" t="s">
        <v>398</v>
      </c>
      <c r="C157" s="157" t="s">
        <v>399</v>
      </c>
      <c r="D157" s="158" t="s">
        <v>325</v>
      </c>
      <c r="E157" s="143">
        <v>10</v>
      </c>
      <c r="F157" s="144">
        <f>P157</f>
        <v>463.85</v>
      </c>
      <c r="G157" s="145">
        <f t="shared" ref="G157:G162" si="28">E157*F157</f>
        <v>4638.5</v>
      </c>
      <c r="H157" s="131"/>
      <c r="J157" s="127">
        <f>ROUND(360/1.09,2)</f>
        <v>330.28</v>
      </c>
      <c r="K157" s="135">
        <v>342.536666666667</v>
      </c>
      <c r="L157" s="115"/>
      <c r="M157" s="115"/>
      <c r="P157" s="115">
        <v>463.85</v>
      </c>
    </row>
    <row r="158" s="109" customFormat="1" ht="96" outlineLevel="1" spans="1:16">
      <c r="A158" s="140">
        <v>125</v>
      </c>
      <c r="B158" s="157" t="s">
        <v>400</v>
      </c>
      <c r="C158" s="157" t="s">
        <v>399</v>
      </c>
      <c r="D158" s="158" t="s">
        <v>325</v>
      </c>
      <c r="E158" s="143">
        <v>10</v>
      </c>
      <c r="F158" s="144">
        <f>P158</f>
        <v>565.64</v>
      </c>
      <c r="G158" s="145">
        <f t="shared" si="28"/>
        <v>5656.4</v>
      </c>
      <c r="H158" s="131"/>
      <c r="J158" s="127">
        <f>ROUND(700/1.09,2)</f>
        <v>642.2</v>
      </c>
      <c r="K158" s="151">
        <v>342.536666666667</v>
      </c>
      <c r="L158" s="115"/>
      <c r="M158" s="115"/>
      <c r="P158" s="115">
        <v>565.64</v>
      </c>
    </row>
    <row r="159" s="109" customFormat="1" ht="72" outlineLevel="1" spans="1:16">
      <c r="A159" s="122">
        <v>126</v>
      </c>
      <c r="B159" s="131" t="s">
        <v>401</v>
      </c>
      <c r="C159" s="131" t="s">
        <v>402</v>
      </c>
      <c r="D159" s="133" t="s">
        <v>325</v>
      </c>
      <c r="E159" s="133">
        <v>20</v>
      </c>
      <c r="F159" s="137">
        <f>ROUND(AVERAGE(J159,K159,L159,M159),2)</f>
        <v>620.88</v>
      </c>
      <c r="G159" s="124">
        <f t="shared" si="28"/>
        <v>12417.6</v>
      </c>
      <c r="H159" s="131"/>
      <c r="J159" s="127">
        <f>ROUND(630/1.09,2)</f>
        <v>577.98</v>
      </c>
      <c r="K159" s="190">
        <v>583.004</v>
      </c>
      <c r="L159" s="115"/>
      <c r="M159" s="115">
        <v>701.65</v>
      </c>
      <c r="P159" s="115"/>
    </row>
    <row r="160" s="109" customFormat="1" ht="72" outlineLevel="1" spans="1:16">
      <c r="A160" s="122">
        <v>127</v>
      </c>
      <c r="B160" s="131" t="s">
        <v>401</v>
      </c>
      <c r="C160" s="131" t="s">
        <v>403</v>
      </c>
      <c r="D160" s="133" t="s">
        <v>325</v>
      </c>
      <c r="E160" s="133">
        <v>20</v>
      </c>
      <c r="F160" s="137">
        <f>ROUND(AVERAGE(J160,K160,L160,M160),2)</f>
        <v>635.82</v>
      </c>
      <c r="G160" s="124">
        <f t="shared" si="28"/>
        <v>12716.4</v>
      </c>
      <c r="H160" s="131"/>
      <c r="J160" s="127">
        <f>ROUND(630/1.09,2)</f>
        <v>577.98</v>
      </c>
      <c r="K160" s="190">
        <v>627.837333333333</v>
      </c>
      <c r="L160" s="115"/>
      <c r="M160" s="115">
        <v>701.65</v>
      </c>
      <c r="P160" s="115"/>
    </row>
    <row r="161" s="109" customFormat="1" ht="12" outlineLevel="1" spans="1:16">
      <c r="A161" s="140">
        <v>128</v>
      </c>
      <c r="B161" s="141" t="s">
        <v>404</v>
      </c>
      <c r="C161" s="141" t="s">
        <v>405</v>
      </c>
      <c r="D161" s="143" t="s">
        <v>93</v>
      </c>
      <c r="E161" s="143">
        <v>80</v>
      </c>
      <c r="F161" s="144">
        <f>P161</f>
        <v>33.7</v>
      </c>
      <c r="G161" s="145">
        <f t="shared" si="28"/>
        <v>2696</v>
      </c>
      <c r="H161" s="131"/>
      <c r="J161" s="127">
        <f>ROUND(57/1.09,2)</f>
        <v>52.29</v>
      </c>
      <c r="K161" s="190">
        <v>33.696</v>
      </c>
      <c r="L161" s="115"/>
      <c r="M161" s="115">
        <v>35.23</v>
      </c>
      <c r="P161" s="115">
        <v>33.7</v>
      </c>
    </row>
    <row r="162" s="109" customFormat="1" ht="96" outlineLevel="1" spans="1:16">
      <c r="A162" s="140">
        <v>129</v>
      </c>
      <c r="B162" s="141" t="s">
        <v>406</v>
      </c>
      <c r="C162" s="141" t="s">
        <v>407</v>
      </c>
      <c r="D162" s="142" t="s">
        <v>93</v>
      </c>
      <c r="E162" s="143">
        <v>200</v>
      </c>
      <c r="F162" s="144">
        <f>P162</f>
        <v>94.2</v>
      </c>
      <c r="G162" s="145">
        <f t="shared" si="28"/>
        <v>18840</v>
      </c>
      <c r="H162" s="141" t="s">
        <v>408</v>
      </c>
      <c r="I162" s="191"/>
      <c r="J162" s="127">
        <f>ROUND(184/1.09,2)</f>
        <v>168.81</v>
      </c>
      <c r="K162" s="151">
        <v>204.24</v>
      </c>
      <c r="L162" s="115"/>
      <c r="M162" s="115">
        <v>276.22</v>
      </c>
      <c r="P162" s="115">
        <v>94.2</v>
      </c>
    </row>
    <row r="163" s="109" customFormat="1" ht="12" outlineLevel="1" spans="1:16">
      <c r="A163" s="172" t="s">
        <v>124</v>
      </c>
      <c r="B163" s="172"/>
      <c r="C163" s="172"/>
      <c r="D163" s="172"/>
      <c r="E163" s="172"/>
      <c r="F163" s="172"/>
      <c r="G163" s="122">
        <f>SUM(G155:G162)</f>
        <v>85742.4</v>
      </c>
      <c r="H163" s="172"/>
      <c r="J163" s="115"/>
      <c r="K163" s="116"/>
      <c r="L163" s="115"/>
      <c r="M163" s="115"/>
      <c r="P163" s="115"/>
    </row>
    <row r="164" s="109" customFormat="1" ht="14.25" spans="1:16">
      <c r="A164" s="126" t="s">
        <v>409</v>
      </c>
      <c r="B164" s="126"/>
      <c r="C164" s="126"/>
      <c r="D164" s="126"/>
      <c r="E164" s="126"/>
      <c r="F164" s="126"/>
      <c r="G164" s="126"/>
      <c r="H164" s="126"/>
      <c r="J164" s="115"/>
      <c r="K164" s="116"/>
      <c r="L164" s="115"/>
      <c r="M164" s="115"/>
      <c r="P164" s="115"/>
    </row>
    <row r="165" s="109" customFormat="1" ht="67.5" outlineLevel="1" spans="1:16">
      <c r="A165" s="192">
        <v>130</v>
      </c>
      <c r="B165" s="193" t="s">
        <v>410</v>
      </c>
      <c r="C165" s="194" t="s">
        <v>411</v>
      </c>
      <c r="D165" s="195" t="s">
        <v>93</v>
      </c>
      <c r="E165" s="167">
        <v>500</v>
      </c>
      <c r="F165" s="167">
        <v>5</v>
      </c>
      <c r="G165" s="169">
        <f t="shared" ref="G165:G175" si="29">E165*F165</f>
        <v>2500</v>
      </c>
      <c r="H165" s="196"/>
      <c r="I165" s="171"/>
      <c r="J165" s="115"/>
      <c r="K165" s="116"/>
      <c r="L165" s="115"/>
      <c r="M165" s="115"/>
      <c r="P165" s="115"/>
    </row>
    <row r="166" s="109" customFormat="1" ht="56.25" outlineLevel="1" spans="1:16">
      <c r="A166" s="192">
        <v>131</v>
      </c>
      <c r="B166" s="193" t="s">
        <v>412</v>
      </c>
      <c r="C166" s="194" t="s">
        <v>413</v>
      </c>
      <c r="D166" s="195" t="s">
        <v>414</v>
      </c>
      <c r="E166" s="167">
        <v>200</v>
      </c>
      <c r="F166" s="167">
        <v>10</v>
      </c>
      <c r="G166" s="169">
        <f t="shared" si="29"/>
        <v>2000</v>
      </c>
      <c r="H166" s="196" t="s">
        <v>415</v>
      </c>
      <c r="I166" s="171"/>
      <c r="J166" s="115"/>
      <c r="K166" s="116"/>
      <c r="L166" s="115"/>
      <c r="M166" s="115"/>
      <c r="P166" s="115"/>
    </row>
    <row r="167" s="109" customFormat="1" ht="67.5" outlineLevel="1" spans="1:16">
      <c r="A167" s="192">
        <v>132</v>
      </c>
      <c r="B167" s="193" t="s">
        <v>416</v>
      </c>
      <c r="C167" s="194" t="s">
        <v>411</v>
      </c>
      <c r="D167" s="195" t="s">
        <v>414</v>
      </c>
      <c r="E167" s="167">
        <v>200</v>
      </c>
      <c r="F167" s="167">
        <v>15</v>
      </c>
      <c r="G167" s="169">
        <f t="shared" si="29"/>
        <v>3000</v>
      </c>
      <c r="H167" s="196"/>
      <c r="I167" s="171"/>
      <c r="J167" s="115"/>
      <c r="K167" s="116"/>
      <c r="L167" s="115"/>
      <c r="M167" s="115"/>
      <c r="P167" s="115"/>
    </row>
    <row r="168" s="109" customFormat="1" ht="78.75" outlineLevel="1" spans="1:16">
      <c r="A168" s="192">
        <v>133</v>
      </c>
      <c r="B168" s="197" t="s">
        <v>417</v>
      </c>
      <c r="C168" s="198" t="s">
        <v>160</v>
      </c>
      <c r="D168" s="199" t="s">
        <v>172</v>
      </c>
      <c r="E168" s="133">
        <v>50</v>
      </c>
      <c r="F168" s="137">
        <f t="shared" ref="F168:F170" si="30">ROUND(AVERAGE(J168,K168,L168,M168),2)</f>
        <v>166.66</v>
      </c>
      <c r="G168" s="124">
        <f t="shared" si="29"/>
        <v>8333</v>
      </c>
      <c r="H168" s="197" t="s">
        <v>162</v>
      </c>
      <c r="J168" s="127">
        <f>ROUND(182/1.09,2)</f>
        <v>166.97</v>
      </c>
      <c r="K168" s="151">
        <v>229.483333333333</v>
      </c>
      <c r="L168" s="115">
        <f>108.99*95%</f>
        <v>103.5405</v>
      </c>
      <c r="M168" s="115"/>
      <c r="P168" s="115"/>
    </row>
    <row r="169" s="109" customFormat="1" ht="67.5" outlineLevel="1" spans="1:16">
      <c r="A169" s="192">
        <v>134</v>
      </c>
      <c r="B169" s="197" t="s">
        <v>418</v>
      </c>
      <c r="C169" s="198" t="s">
        <v>419</v>
      </c>
      <c r="D169" s="200" t="s">
        <v>93</v>
      </c>
      <c r="E169" s="133">
        <v>200</v>
      </c>
      <c r="F169" s="137">
        <f t="shared" si="30"/>
        <v>480.16</v>
      </c>
      <c r="G169" s="124">
        <f t="shared" si="29"/>
        <v>96032</v>
      </c>
      <c r="H169" s="197" t="s">
        <v>420</v>
      </c>
      <c r="J169" s="115"/>
      <c r="K169" s="151">
        <v>565.46</v>
      </c>
      <c r="L169" s="115">
        <f>459.78*95%</f>
        <v>436.791</v>
      </c>
      <c r="M169" s="115">
        <v>438.22</v>
      </c>
      <c r="P169" s="115"/>
    </row>
    <row r="170" s="109" customFormat="1" ht="67.5" outlineLevel="1" spans="1:16">
      <c r="A170" s="192">
        <v>135</v>
      </c>
      <c r="B170" s="197" t="s">
        <v>421</v>
      </c>
      <c r="C170" s="198" t="s">
        <v>411</v>
      </c>
      <c r="D170" s="200" t="s">
        <v>100</v>
      </c>
      <c r="E170" s="133">
        <v>100</v>
      </c>
      <c r="F170" s="137">
        <f t="shared" si="30"/>
        <v>20.74</v>
      </c>
      <c r="G170" s="124">
        <f t="shared" si="29"/>
        <v>2074</v>
      </c>
      <c r="H170" s="201" t="s">
        <v>422</v>
      </c>
      <c r="J170" s="127">
        <f>ROUND(40/1.09,2)</f>
        <v>36.7</v>
      </c>
      <c r="K170" s="116"/>
      <c r="L170" s="115">
        <f>5.03*95%</f>
        <v>4.7785</v>
      </c>
      <c r="M170" s="115"/>
      <c r="P170" s="115"/>
    </row>
    <row r="171" s="109" customFormat="1" ht="67.5" outlineLevel="1" spans="1:16">
      <c r="A171" s="192">
        <v>136</v>
      </c>
      <c r="B171" s="193" t="s">
        <v>423</v>
      </c>
      <c r="C171" s="194" t="s">
        <v>424</v>
      </c>
      <c r="D171" s="195" t="s">
        <v>225</v>
      </c>
      <c r="E171" s="167">
        <v>20</v>
      </c>
      <c r="F171" s="167">
        <v>100</v>
      </c>
      <c r="G171" s="169">
        <f t="shared" si="29"/>
        <v>2000</v>
      </c>
      <c r="H171" s="196" t="s">
        <v>218</v>
      </c>
      <c r="I171" s="171" t="s">
        <v>194</v>
      </c>
      <c r="J171" s="115"/>
      <c r="K171" s="116"/>
      <c r="L171" s="115"/>
      <c r="M171" s="115"/>
      <c r="P171" s="115"/>
    </row>
    <row r="172" s="109" customFormat="1" ht="67.5" outlineLevel="1" spans="1:16">
      <c r="A172" s="192">
        <v>137</v>
      </c>
      <c r="B172" s="202" t="s">
        <v>425</v>
      </c>
      <c r="C172" s="203" t="s">
        <v>426</v>
      </c>
      <c r="D172" s="204" t="s">
        <v>188</v>
      </c>
      <c r="E172" s="167">
        <v>10</v>
      </c>
      <c r="F172" s="167">
        <v>3100</v>
      </c>
      <c r="G172" s="169">
        <f t="shared" si="29"/>
        <v>31000</v>
      </c>
      <c r="H172" s="202" t="s">
        <v>258</v>
      </c>
      <c r="I172" s="171" t="s">
        <v>427</v>
      </c>
      <c r="J172" s="115"/>
      <c r="K172" s="116"/>
      <c r="L172" s="115"/>
      <c r="M172" s="115"/>
      <c r="P172" s="115"/>
    </row>
    <row r="173" s="109" customFormat="1" ht="72" outlineLevel="1" spans="1:16">
      <c r="A173" s="192">
        <v>138</v>
      </c>
      <c r="B173" s="178" t="s">
        <v>428</v>
      </c>
      <c r="C173" s="178" t="s">
        <v>429</v>
      </c>
      <c r="D173" s="205" t="s">
        <v>430</v>
      </c>
      <c r="E173" s="167">
        <v>5</v>
      </c>
      <c r="F173" s="167">
        <v>2910.31</v>
      </c>
      <c r="G173" s="167">
        <f t="shared" si="29"/>
        <v>14551.55</v>
      </c>
      <c r="H173" s="170" t="s">
        <v>431</v>
      </c>
      <c r="I173" s="171" t="s">
        <v>190</v>
      </c>
      <c r="J173" s="115"/>
      <c r="K173" s="116"/>
      <c r="L173" s="115"/>
      <c r="M173" s="115"/>
      <c r="P173" s="115"/>
    </row>
    <row r="174" s="109" customFormat="1" ht="60" outlineLevel="1" spans="1:16">
      <c r="A174" s="192">
        <v>139</v>
      </c>
      <c r="B174" s="178" t="s">
        <v>432</v>
      </c>
      <c r="C174" s="178" t="s">
        <v>433</v>
      </c>
      <c r="D174" s="205" t="s">
        <v>430</v>
      </c>
      <c r="E174" s="167">
        <v>20</v>
      </c>
      <c r="F174" s="167">
        <v>554.37</v>
      </c>
      <c r="G174" s="167">
        <f t="shared" si="29"/>
        <v>11087.4</v>
      </c>
      <c r="H174" s="170" t="s">
        <v>434</v>
      </c>
      <c r="I174" s="171" t="s">
        <v>190</v>
      </c>
      <c r="J174" s="115"/>
      <c r="K174" s="116"/>
      <c r="L174" s="115"/>
      <c r="M174" s="115"/>
      <c r="P174" s="115"/>
    </row>
    <row r="175" s="109" customFormat="1" ht="48" outlineLevel="1" spans="1:16">
      <c r="A175" s="192">
        <v>140</v>
      </c>
      <c r="B175" s="206" t="s">
        <v>435</v>
      </c>
      <c r="C175" s="207" t="s">
        <v>436</v>
      </c>
      <c r="D175" s="208" t="s">
        <v>172</v>
      </c>
      <c r="E175" s="167">
        <v>50</v>
      </c>
      <c r="F175" s="167">
        <v>298.99</v>
      </c>
      <c r="G175" s="167">
        <f t="shared" si="29"/>
        <v>14949.5</v>
      </c>
      <c r="H175" s="170" t="s">
        <v>437</v>
      </c>
      <c r="I175" s="171" t="s">
        <v>190</v>
      </c>
      <c r="J175" s="115"/>
      <c r="K175" s="116"/>
      <c r="L175" s="115"/>
      <c r="M175" s="115"/>
      <c r="P175" s="115"/>
    </row>
    <row r="176" s="109" customFormat="1" ht="84" outlineLevel="1" spans="1:16">
      <c r="A176" s="192">
        <v>141</v>
      </c>
      <c r="B176" s="177" t="s">
        <v>438</v>
      </c>
      <c r="C176" s="178" t="s">
        <v>260</v>
      </c>
      <c r="D176" s="208" t="s">
        <v>172</v>
      </c>
      <c r="E176" s="167">
        <v>50</v>
      </c>
      <c r="F176" s="167">
        <v>95.42</v>
      </c>
      <c r="G176" s="167">
        <f t="shared" ref="G176:G181" si="31">E176*F176</f>
        <v>4771</v>
      </c>
      <c r="H176" s="170" t="s">
        <v>439</v>
      </c>
      <c r="I176" s="171" t="s">
        <v>190</v>
      </c>
      <c r="J176" s="115"/>
      <c r="K176" s="116"/>
      <c r="L176" s="115"/>
      <c r="M176" s="115"/>
      <c r="P176" s="115"/>
    </row>
    <row r="177" s="109" customFormat="1" ht="72" outlineLevel="1" spans="1:16">
      <c r="A177" s="192">
        <v>142</v>
      </c>
      <c r="B177" s="178" t="s">
        <v>440</v>
      </c>
      <c r="C177" s="178" t="s">
        <v>441</v>
      </c>
      <c r="D177" s="208" t="s">
        <v>172</v>
      </c>
      <c r="E177" s="167">
        <v>50</v>
      </c>
      <c r="F177" s="167">
        <v>220</v>
      </c>
      <c r="G177" s="167">
        <f t="shared" si="31"/>
        <v>11000</v>
      </c>
      <c r="H177" s="170" t="s">
        <v>442</v>
      </c>
      <c r="I177" s="171" t="s">
        <v>194</v>
      </c>
      <c r="J177" s="115"/>
      <c r="K177" s="116"/>
      <c r="L177" s="115"/>
      <c r="M177" s="115"/>
      <c r="P177" s="115"/>
    </row>
    <row r="178" s="109" customFormat="1" ht="84" outlineLevel="1" spans="1:16">
      <c r="A178" s="192">
        <v>143</v>
      </c>
      <c r="B178" s="178" t="s">
        <v>443</v>
      </c>
      <c r="C178" s="178" t="s">
        <v>260</v>
      </c>
      <c r="D178" s="205" t="s">
        <v>444</v>
      </c>
      <c r="E178" s="167">
        <v>200</v>
      </c>
      <c r="F178" s="167">
        <v>465</v>
      </c>
      <c r="G178" s="167">
        <f t="shared" si="31"/>
        <v>93000</v>
      </c>
      <c r="H178" s="170" t="s">
        <v>445</v>
      </c>
      <c r="I178" s="171" t="s">
        <v>190</v>
      </c>
      <c r="J178" s="115"/>
      <c r="K178" s="116"/>
      <c r="L178" s="115"/>
      <c r="M178" s="115"/>
      <c r="P178" s="115"/>
    </row>
    <row r="179" s="109" customFormat="1" ht="72" spans="1:16">
      <c r="A179" s="192">
        <v>144</v>
      </c>
      <c r="B179" s="209" t="s">
        <v>446</v>
      </c>
      <c r="C179" s="210" t="s">
        <v>441</v>
      </c>
      <c r="D179" s="208" t="s">
        <v>172</v>
      </c>
      <c r="E179" s="167">
        <v>50</v>
      </c>
      <c r="F179" s="167">
        <v>480.29</v>
      </c>
      <c r="G179" s="167">
        <f t="shared" si="31"/>
        <v>24014.5</v>
      </c>
      <c r="H179" s="170" t="s">
        <v>447</v>
      </c>
      <c r="I179" s="171" t="s">
        <v>190</v>
      </c>
      <c r="J179" s="115"/>
      <c r="K179" s="116"/>
      <c r="L179" s="115"/>
      <c r="M179" s="115"/>
      <c r="P179" s="115"/>
    </row>
    <row r="180" s="109" customFormat="1" ht="84" outlineLevel="1" spans="1:16">
      <c r="A180" s="192">
        <v>145</v>
      </c>
      <c r="B180" s="206" t="s">
        <v>448</v>
      </c>
      <c r="C180" s="170" t="s">
        <v>337</v>
      </c>
      <c r="D180" s="174" t="s">
        <v>257</v>
      </c>
      <c r="E180" s="167">
        <v>10</v>
      </c>
      <c r="F180" s="167">
        <v>129.9</v>
      </c>
      <c r="G180" s="167">
        <f t="shared" si="31"/>
        <v>1299</v>
      </c>
      <c r="H180" s="170" t="s">
        <v>338</v>
      </c>
      <c r="I180" s="171" t="s">
        <v>190</v>
      </c>
      <c r="J180" s="115"/>
      <c r="K180" s="116"/>
      <c r="L180" s="115"/>
      <c r="M180" s="115"/>
      <c r="P180" s="115"/>
    </row>
    <row r="181" s="109" customFormat="1" ht="12" outlineLevel="1" spans="1:16">
      <c r="A181" s="172" t="s">
        <v>124</v>
      </c>
      <c r="B181" s="172"/>
      <c r="C181" s="172"/>
      <c r="D181" s="172"/>
      <c r="E181" s="172"/>
      <c r="F181" s="172"/>
      <c r="G181" s="179">
        <f>SUM(G165:G180)</f>
        <v>321611.95</v>
      </c>
      <c r="H181" s="172"/>
      <c r="J181" s="115"/>
      <c r="K181" s="116"/>
      <c r="L181" s="115"/>
      <c r="M181" s="115"/>
      <c r="P181" s="115"/>
    </row>
    <row r="182" s="109" customFormat="1" ht="14.25" spans="1:16">
      <c r="A182" s="126" t="s">
        <v>449</v>
      </c>
      <c r="B182" s="126"/>
      <c r="C182" s="126"/>
      <c r="D182" s="126"/>
      <c r="E182" s="126"/>
      <c r="F182" s="126"/>
      <c r="G182" s="126"/>
      <c r="H182" s="126"/>
      <c r="J182" s="115"/>
      <c r="K182" s="116"/>
      <c r="L182" s="115"/>
      <c r="M182" s="115"/>
      <c r="P182" s="115"/>
    </row>
    <row r="183" s="109" customFormat="1" ht="78.75" outlineLevel="1" spans="1:16">
      <c r="A183" s="122">
        <v>146</v>
      </c>
      <c r="B183" s="197" t="s">
        <v>450</v>
      </c>
      <c r="C183" s="198" t="s">
        <v>293</v>
      </c>
      <c r="D183" s="199" t="s">
        <v>100</v>
      </c>
      <c r="E183" s="133">
        <v>50</v>
      </c>
      <c r="F183" s="137">
        <f t="shared" ref="F183:F186" si="32">ROUND(AVERAGE(J183,K183,L183,M183),2)</f>
        <v>429.43</v>
      </c>
      <c r="G183" s="124">
        <f>E183*F183</f>
        <v>21471.5</v>
      </c>
      <c r="H183" s="197" t="s">
        <v>451</v>
      </c>
      <c r="J183" s="127">
        <f>ROUND(353/1.09,2)</f>
        <v>323.85</v>
      </c>
      <c r="K183" s="116"/>
      <c r="L183" s="115">
        <f>459.71*95%</f>
        <v>436.7245</v>
      </c>
      <c r="M183" s="115">
        <v>527.72</v>
      </c>
      <c r="P183" s="115"/>
    </row>
    <row r="184" s="109" customFormat="1" ht="78.75" outlineLevel="1" spans="1:16">
      <c r="A184" s="122">
        <v>147</v>
      </c>
      <c r="B184" s="197" t="s">
        <v>452</v>
      </c>
      <c r="C184" s="198" t="s">
        <v>453</v>
      </c>
      <c r="D184" s="123" t="s">
        <v>93</v>
      </c>
      <c r="E184" s="133">
        <v>50</v>
      </c>
      <c r="F184" s="137">
        <f t="shared" si="32"/>
        <v>464.26</v>
      </c>
      <c r="G184" s="124">
        <f t="shared" ref="G184:G189" si="33">E184*F184</f>
        <v>23213</v>
      </c>
      <c r="H184" s="197" t="s">
        <v>454</v>
      </c>
      <c r="J184" s="127">
        <f>ROUND(321/1.09,2)</f>
        <v>294.5</v>
      </c>
      <c r="K184" s="151">
        <v>565.46</v>
      </c>
      <c r="L184" s="115">
        <f>608.6*95%</f>
        <v>578.17</v>
      </c>
      <c r="M184" s="115">
        <v>418.89</v>
      </c>
      <c r="P184" s="115"/>
    </row>
    <row r="185" s="109" customFormat="1" ht="78.75" outlineLevel="1" spans="1:16">
      <c r="A185" s="140">
        <v>148</v>
      </c>
      <c r="B185" s="211" t="s">
        <v>455</v>
      </c>
      <c r="C185" s="212" t="s">
        <v>456</v>
      </c>
      <c r="D185" s="142" t="s">
        <v>93</v>
      </c>
      <c r="E185" s="143">
        <v>100</v>
      </c>
      <c r="F185" s="144">
        <f>P185</f>
        <v>164.27</v>
      </c>
      <c r="G185" s="145">
        <f t="shared" si="33"/>
        <v>16427</v>
      </c>
      <c r="H185" s="212" t="s">
        <v>457</v>
      </c>
      <c r="J185" s="127">
        <f>ROUND(363/1.09,2)</f>
        <v>333.03</v>
      </c>
      <c r="K185" s="151">
        <v>507.18</v>
      </c>
      <c r="L185" s="115">
        <f>124.8*95%</f>
        <v>118.56</v>
      </c>
      <c r="M185" s="115"/>
      <c r="P185" s="115">
        <v>164.27</v>
      </c>
    </row>
    <row r="186" s="109" customFormat="1" ht="56.25" outlineLevel="1" spans="1:16">
      <c r="A186" s="122">
        <v>149</v>
      </c>
      <c r="B186" s="197" t="s">
        <v>458</v>
      </c>
      <c r="C186" s="213" t="s">
        <v>459</v>
      </c>
      <c r="D186" s="199" t="s">
        <v>172</v>
      </c>
      <c r="E186" s="133">
        <v>5</v>
      </c>
      <c r="F186" s="137">
        <f t="shared" si="32"/>
        <v>392.9</v>
      </c>
      <c r="G186" s="124">
        <f t="shared" si="33"/>
        <v>1964.5</v>
      </c>
      <c r="H186" s="213" t="s">
        <v>460</v>
      </c>
      <c r="J186" s="115"/>
      <c r="K186" s="116"/>
      <c r="L186" s="115">
        <f>277.71*95%</f>
        <v>263.8245</v>
      </c>
      <c r="M186" s="115">
        <v>521.97</v>
      </c>
      <c r="P186" s="115"/>
    </row>
    <row r="187" s="109" customFormat="1" ht="12" outlineLevel="1" spans="1:16">
      <c r="A187" s="122" t="s">
        <v>124</v>
      </c>
      <c r="B187" s="122"/>
      <c r="C187" s="122"/>
      <c r="D187" s="122"/>
      <c r="E187" s="122"/>
      <c r="F187" s="122"/>
      <c r="G187" s="124">
        <f>SUM(G183:G186)</f>
        <v>63076</v>
      </c>
      <c r="H187" s="201"/>
      <c r="J187" s="115"/>
      <c r="K187" s="116"/>
      <c r="L187" s="115"/>
      <c r="M187" s="115"/>
      <c r="P187" s="115"/>
    </row>
    <row r="188" s="109" customFormat="1" ht="14.25" spans="1:16">
      <c r="A188" s="126" t="s">
        <v>461</v>
      </c>
      <c r="B188" s="126"/>
      <c r="C188" s="126"/>
      <c r="D188" s="126"/>
      <c r="E188" s="126"/>
      <c r="F188" s="126"/>
      <c r="G188" s="126"/>
      <c r="H188" s="126"/>
      <c r="J188" s="115"/>
      <c r="K188" s="116"/>
      <c r="L188" s="115"/>
      <c r="M188" s="115"/>
      <c r="P188" s="115"/>
    </row>
    <row r="189" s="109" customFormat="1" ht="48" outlineLevel="1" spans="1:16">
      <c r="A189" s="122">
        <v>150</v>
      </c>
      <c r="B189" s="214" t="s">
        <v>462</v>
      </c>
      <c r="C189" s="139" t="s">
        <v>463</v>
      </c>
      <c r="D189" s="215" t="s">
        <v>444</v>
      </c>
      <c r="E189" s="216">
        <v>500</v>
      </c>
      <c r="F189" s="216">
        <v>21</v>
      </c>
      <c r="G189" s="124">
        <f t="shared" si="33"/>
        <v>10500</v>
      </c>
      <c r="H189" s="214" t="s">
        <v>464</v>
      </c>
      <c r="J189" s="127">
        <f>ROUND(13/1.09,2)</f>
        <v>11.93</v>
      </c>
      <c r="K189" s="116"/>
      <c r="L189" s="115"/>
      <c r="M189" s="115">
        <v>40.79</v>
      </c>
      <c r="P189" s="115"/>
    </row>
    <row r="190" s="109" customFormat="1" ht="48" outlineLevel="1" spans="1:16">
      <c r="A190" s="122">
        <v>151</v>
      </c>
      <c r="B190" s="214" t="s">
        <v>465</v>
      </c>
      <c r="C190" s="139" t="s">
        <v>466</v>
      </c>
      <c r="D190" s="215" t="s">
        <v>444</v>
      </c>
      <c r="E190" s="216">
        <v>500</v>
      </c>
      <c r="F190" s="137">
        <f t="shared" ref="F190:F196" si="34">ROUND(AVERAGE(J190,K190,L190,M190),2)</f>
        <v>30.03</v>
      </c>
      <c r="G190" s="124">
        <f t="shared" ref="G190:G201" si="35">E190*F190</f>
        <v>15015</v>
      </c>
      <c r="H190" s="214" t="s">
        <v>467</v>
      </c>
      <c r="J190" s="127">
        <f>ROUND(21/1.09,2)</f>
        <v>19.27</v>
      </c>
      <c r="K190" s="116"/>
      <c r="L190" s="115"/>
      <c r="M190" s="115">
        <v>40.79</v>
      </c>
      <c r="P190" s="115"/>
    </row>
    <row r="191" s="109" customFormat="1" ht="48" outlineLevel="1" spans="1:16">
      <c r="A191" s="122">
        <v>152</v>
      </c>
      <c r="B191" s="197" t="s">
        <v>468</v>
      </c>
      <c r="C191" s="139" t="s">
        <v>469</v>
      </c>
      <c r="D191" s="215" t="s">
        <v>470</v>
      </c>
      <c r="E191" s="216">
        <v>100</v>
      </c>
      <c r="F191" s="137">
        <f t="shared" si="34"/>
        <v>256.88</v>
      </c>
      <c r="G191" s="124">
        <f t="shared" si="35"/>
        <v>25688</v>
      </c>
      <c r="H191" s="214" t="s">
        <v>467</v>
      </c>
      <c r="J191" s="127">
        <f>ROUND(280/1.09,2)</f>
        <v>256.88</v>
      </c>
      <c r="K191" s="116"/>
      <c r="L191" s="115"/>
      <c r="M191" s="115"/>
      <c r="P191" s="115"/>
    </row>
    <row r="192" s="109" customFormat="1" ht="48" outlineLevel="1" spans="1:16">
      <c r="A192" s="122">
        <v>153</v>
      </c>
      <c r="B192" s="197" t="s">
        <v>471</v>
      </c>
      <c r="C192" s="139" t="s">
        <v>472</v>
      </c>
      <c r="D192" s="215" t="s">
        <v>470</v>
      </c>
      <c r="E192" s="216">
        <v>100</v>
      </c>
      <c r="F192" s="137">
        <f t="shared" si="34"/>
        <v>59.63</v>
      </c>
      <c r="G192" s="124">
        <f t="shared" si="35"/>
        <v>5963</v>
      </c>
      <c r="H192" s="214" t="s">
        <v>467</v>
      </c>
      <c r="J192" s="127">
        <f>ROUND(65/1.09,2)</f>
        <v>59.63</v>
      </c>
      <c r="K192" s="116"/>
      <c r="L192" s="115"/>
      <c r="M192" s="115"/>
      <c r="P192" s="115"/>
    </row>
    <row r="193" s="109" customFormat="1" ht="132" outlineLevel="1" spans="1:16">
      <c r="A193" s="122">
        <v>154</v>
      </c>
      <c r="B193" s="197" t="s">
        <v>473</v>
      </c>
      <c r="C193" s="131" t="s">
        <v>474</v>
      </c>
      <c r="D193" s="215" t="s">
        <v>444</v>
      </c>
      <c r="E193" s="216">
        <v>400</v>
      </c>
      <c r="F193" s="137">
        <f t="shared" si="34"/>
        <v>113.47</v>
      </c>
      <c r="G193" s="124">
        <f t="shared" si="35"/>
        <v>45388</v>
      </c>
      <c r="H193" s="214" t="s">
        <v>475</v>
      </c>
      <c r="J193" s="127">
        <f>ROUND(190/1.09,2)</f>
        <v>174.31</v>
      </c>
      <c r="K193" s="116"/>
      <c r="L193" s="115"/>
      <c r="M193" s="115">
        <f>29.24*1.8</f>
        <v>52.632</v>
      </c>
      <c r="P193" s="115"/>
    </row>
    <row r="194" s="109" customFormat="1" ht="36" outlineLevel="1" spans="1:16">
      <c r="A194" s="122">
        <v>155</v>
      </c>
      <c r="B194" s="197" t="s">
        <v>476</v>
      </c>
      <c r="C194" s="131" t="s">
        <v>477</v>
      </c>
      <c r="D194" s="217" t="s">
        <v>100</v>
      </c>
      <c r="E194" s="216">
        <v>50</v>
      </c>
      <c r="F194" s="137">
        <f t="shared" si="34"/>
        <v>134.58</v>
      </c>
      <c r="G194" s="124">
        <f t="shared" si="35"/>
        <v>6729</v>
      </c>
      <c r="H194" s="214" t="s">
        <v>478</v>
      </c>
      <c r="J194" s="127">
        <f>ROUND(156/1.09,2)</f>
        <v>143.12</v>
      </c>
      <c r="K194" s="151">
        <v>197.143333333333</v>
      </c>
      <c r="L194" s="115"/>
      <c r="M194" s="115">
        <v>63.48</v>
      </c>
      <c r="P194" s="115"/>
    </row>
    <row r="195" s="109" customFormat="1" ht="36" outlineLevel="1" spans="1:16">
      <c r="A195" s="122">
        <v>156</v>
      </c>
      <c r="B195" s="197" t="s">
        <v>479</v>
      </c>
      <c r="C195" s="131" t="s">
        <v>480</v>
      </c>
      <c r="D195" s="215" t="s">
        <v>444</v>
      </c>
      <c r="E195" s="216">
        <v>50</v>
      </c>
      <c r="F195" s="137">
        <f t="shared" si="34"/>
        <v>98.89</v>
      </c>
      <c r="G195" s="124">
        <f t="shared" si="35"/>
        <v>4944.5</v>
      </c>
      <c r="H195" s="214" t="s">
        <v>481</v>
      </c>
      <c r="J195" s="127">
        <f>ROUND(93/1.09,2)</f>
        <v>85.32</v>
      </c>
      <c r="K195" s="151">
        <v>145.276666666667</v>
      </c>
      <c r="L195" s="115"/>
      <c r="M195" s="115">
        <v>66.07</v>
      </c>
      <c r="P195" s="115"/>
    </row>
    <row r="196" s="109" customFormat="1" ht="48" outlineLevel="1" spans="1:16">
      <c r="A196" s="122">
        <v>157</v>
      </c>
      <c r="B196" s="197" t="s">
        <v>482</v>
      </c>
      <c r="C196" s="131" t="s">
        <v>483</v>
      </c>
      <c r="D196" s="215" t="s">
        <v>444</v>
      </c>
      <c r="E196" s="216">
        <v>100</v>
      </c>
      <c r="F196" s="137">
        <f t="shared" si="34"/>
        <v>189.03</v>
      </c>
      <c r="G196" s="124">
        <f t="shared" si="35"/>
        <v>18903</v>
      </c>
      <c r="H196" s="214" t="s">
        <v>329</v>
      </c>
      <c r="J196" s="127">
        <f>ROUND(138/1.09,2)</f>
        <v>126.61</v>
      </c>
      <c r="K196" s="151">
        <v>262.106666666667</v>
      </c>
      <c r="L196" s="115"/>
      <c r="M196" s="115">
        <v>178.37</v>
      </c>
      <c r="P196" s="115"/>
    </row>
    <row r="197" s="109" customFormat="1" ht="48" outlineLevel="1" spans="1:16">
      <c r="A197" s="122">
        <v>158</v>
      </c>
      <c r="B197" s="218" t="s">
        <v>484</v>
      </c>
      <c r="C197" s="219" t="s">
        <v>485</v>
      </c>
      <c r="D197" s="220" t="s">
        <v>172</v>
      </c>
      <c r="E197" s="221">
        <v>30</v>
      </c>
      <c r="F197" s="221">
        <v>320</v>
      </c>
      <c r="G197" s="222">
        <f t="shared" si="35"/>
        <v>9600</v>
      </c>
      <c r="H197" s="218" t="s">
        <v>486</v>
      </c>
      <c r="I197" s="171" t="s">
        <v>194</v>
      </c>
      <c r="J197" s="115"/>
      <c r="K197" s="116"/>
      <c r="L197" s="115"/>
      <c r="M197" s="115"/>
      <c r="P197" s="115"/>
    </row>
    <row r="198" s="109" customFormat="1" ht="56.25" outlineLevel="1" spans="1:16">
      <c r="A198" s="122">
        <v>159</v>
      </c>
      <c r="B198" s="218" t="s">
        <v>487</v>
      </c>
      <c r="C198" s="223" t="s">
        <v>488</v>
      </c>
      <c r="D198" s="224" t="s">
        <v>172</v>
      </c>
      <c r="E198" s="221">
        <v>15</v>
      </c>
      <c r="F198" s="221">
        <v>420</v>
      </c>
      <c r="G198" s="222">
        <f t="shared" si="35"/>
        <v>6300</v>
      </c>
      <c r="H198" s="223" t="s">
        <v>489</v>
      </c>
      <c r="I198" s="171" t="s">
        <v>194</v>
      </c>
      <c r="J198" s="115"/>
      <c r="K198" s="116"/>
      <c r="L198" s="115"/>
      <c r="M198" s="115"/>
      <c r="P198" s="115"/>
    </row>
    <row r="199" s="109" customFormat="1" ht="48" outlineLevel="1" spans="1:16">
      <c r="A199" s="122">
        <v>160</v>
      </c>
      <c r="B199" s="218" t="s">
        <v>490</v>
      </c>
      <c r="C199" s="219" t="s">
        <v>491</v>
      </c>
      <c r="D199" s="220" t="s">
        <v>172</v>
      </c>
      <c r="E199" s="221">
        <v>20</v>
      </c>
      <c r="F199" s="221">
        <v>155</v>
      </c>
      <c r="G199" s="222">
        <f t="shared" si="35"/>
        <v>3100</v>
      </c>
      <c r="H199" s="218" t="s">
        <v>492</v>
      </c>
      <c r="I199" s="171" t="s">
        <v>190</v>
      </c>
      <c r="J199" s="115"/>
      <c r="K199" s="116"/>
      <c r="L199" s="115"/>
      <c r="M199" s="115"/>
      <c r="P199" s="115"/>
    </row>
    <row r="200" s="109" customFormat="1" ht="48" outlineLevel="1" spans="1:16">
      <c r="A200" s="122">
        <v>161</v>
      </c>
      <c r="B200" s="218" t="s">
        <v>493</v>
      </c>
      <c r="C200" s="219" t="s">
        <v>494</v>
      </c>
      <c r="D200" s="220" t="s">
        <v>188</v>
      </c>
      <c r="E200" s="221">
        <v>10</v>
      </c>
      <c r="F200" s="221">
        <v>2393.42</v>
      </c>
      <c r="G200" s="222">
        <f t="shared" si="35"/>
        <v>23934.2</v>
      </c>
      <c r="H200" s="218" t="s">
        <v>495</v>
      </c>
      <c r="I200" s="171" t="s">
        <v>190</v>
      </c>
      <c r="J200" s="115"/>
      <c r="K200" s="116"/>
      <c r="L200" s="115"/>
      <c r="M200" s="115"/>
      <c r="P200" s="115"/>
    </row>
    <row r="201" s="109" customFormat="1" ht="72" outlineLevel="1" spans="1:16">
      <c r="A201" s="122">
        <v>162</v>
      </c>
      <c r="B201" s="223" t="s">
        <v>496</v>
      </c>
      <c r="C201" s="219" t="s">
        <v>429</v>
      </c>
      <c r="D201" s="220" t="s">
        <v>172</v>
      </c>
      <c r="E201" s="221">
        <v>1</v>
      </c>
      <c r="F201" s="221">
        <v>2749.93</v>
      </c>
      <c r="G201" s="222">
        <f t="shared" si="35"/>
        <v>2749.93</v>
      </c>
      <c r="H201" s="218" t="s">
        <v>497</v>
      </c>
      <c r="I201" s="171" t="s">
        <v>190</v>
      </c>
      <c r="J201" s="115"/>
      <c r="K201" s="116"/>
      <c r="L201" s="115"/>
      <c r="M201" s="115"/>
      <c r="P201" s="115"/>
    </row>
    <row r="202" s="109" customFormat="1" ht="12" outlineLevel="1" spans="1:16">
      <c r="A202" s="122" t="s">
        <v>124</v>
      </c>
      <c r="B202" s="122"/>
      <c r="C202" s="122"/>
      <c r="D202" s="122"/>
      <c r="E202" s="122"/>
      <c r="F202" s="122"/>
      <c r="G202" s="225">
        <f>SUM(G189:G201)</f>
        <v>178814.63</v>
      </c>
      <c r="H202" s="201"/>
      <c r="J202" s="115"/>
      <c r="K202" s="116"/>
      <c r="L202" s="115"/>
      <c r="M202" s="115"/>
      <c r="P202" s="115"/>
    </row>
    <row r="203" s="109" customFormat="1" ht="20.25" spans="1:16">
      <c r="A203" s="226" t="s">
        <v>498</v>
      </c>
      <c r="B203" s="226"/>
      <c r="C203" s="226"/>
      <c r="D203" s="226"/>
      <c r="E203" s="226"/>
      <c r="F203" s="226"/>
      <c r="G203" s="227">
        <f>G15+G25+G39+G60+G77+G94+G153+G163+G181+G187+G202</f>
        <v>2604252.13</v>
      </c>
      <c r="H203" s="201"/>
      <c r="J203" s="115"/>
      <c r="K203" s="116"/>
      <c r="L203" s="115"/>
      <c r="M203" s="115"/>
      <c r="P203" s="115"/>
    </row>
  </sheetData>
  <sheetProtection formatCells="0" formatColumns="0" formatRows="0" insertRows="0" insertColumns="0" insertHyperlinks="0" deleteColumns="0" deleteRows="0" sort="0" autoFilter="0" pivotTables="0"/>
  <mergeCells count="40">
    <mergeCell ref="A1:H1"/>
    <mergeCell ref="A3:H3"/>
    <mergeCell ref="A15:F15"/>
    <mergeCell ref="A16:H16"/>
    <mergeCell ref="A25:F25"/>
    <mergeCell ref="A26:H26"/>
    <mergeCell ref="A39:F39"/>
    <mergeCell ref="A40:H40"/>
    <mergeCell ref="A60:F60"/>
    <mergeCell ref="A61:H61"/>
    <mergeCell ref="A77:F77"/>
    <mergeCell ref="A78:H78"/>
    <mergeCell ref="A94:F94"/>
    <mergeCell ref="A95:H95"/>
    <mergeCell ref="A96:H96"/>
    <mergeCell ref="A105:F105"/>
    <mergeCell ref="A106:H106"/>
    <mergeCell ref="A113:F113"/>
    <mergeCell ref="A114:H114"/>
    <mergeCell ref="A120:F120"/>
    <mergeCell ref="A121:H121"/>
    <mergeCell ref="A129:F129"/>
    <mergeCell ref="A130:H130"/>
    <mergeCell ref="A135:F135"/>
    <mergeCell ref="A136:H136"/>
    <mergeCell ref="A141:F141"/>
    <mergeCell ref="A142:H142"/>
    <mergeCell ref="A146:F146"/>
    <mergeCell ref="A147:H147"/>
    <mergeCell ref="A152:F152"/>
    <mergeCell ref="A153:F153"/>
    <mergeCell ref="A154:H154"/>
    <mergeCell ref="A163:F163"/>
    <mergeCell ref="A164:H164"/>
    <mergeCell ref="A181:F181"/>
    <mergeCell ref="A182:H182"/>
    <mergeCell ref="A187:F187"/>
    <mergeCell ref="A188:H188"/>
    <mergeCell ref="A202:F202"/>
    <mergeCell ref="A203:F203"/>
  </mergeCells>
  <pageMargins left="0.554861111111111" right="0.554861111111111" top="1" bottom="1" header="0.5" footer="0.5"/>
  <pageSetup paperSize="9" scale="8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9" sqref="F9"/>
    </sheetView>
  </sheetViews>
  <sheetFormatPr defaultColWidth="9" defaultRowHeight="12" outlineLevelCol="6"/>
  <cols>
    <col min="1" max="1" width="6.4" style="92" customWidth="1"/>
    <col min="2" max="2" width="42.6" style="93" customWidth="1"/>
    <col min="3" max="3" width="10.2666666666667" style="90" customWidth="1"/>
    <col min="4" max="4" width="7.4" style="90" customWidth="1"/>
    <col min="5" max="5" width="9.25" style="90" customWidth="1"/>
    <col min="6" max="6" width="14.1333333333333" style="90" customWidth="1"/>
    <col min="7" max="7" width="17.925" style="94" customWidth="1"/>
    <col min="8" max="16384" width="9" style="90"/>
  </cols>
  <sheetData>
    <row r="1" s="88" customFormat="1" ht="30" customHeight="1" spans="1:7">
      <c r="A1" s="95" t="s">
        <v>499</v>
      </c>
      <c r="B1" s="96"/>
      <c r="C1" s="96"/>
      <c r="D1" s="96"/>
      <c r="E1" s="96"/>
      <c r="F1" s="96"/>
      <c r="G1" s="96"/>
    </row>
    <row r="2" s="89" customFormat="1" ht="30" customHeight="1" spans="1:7">
      <c r="A2" s="97" t="s">
        <v>43</v>
      </c>
      <c r="B2" s="98" t="s">
        <v>71</v>
      </c>
      <c r="C2" s="97" t="s">
        <v>82</v>
      </c>
      <c r="D2" s="97" t="s">
        <v>81</v>
      </c>
      <c r="E2" s="99" t="s">
        <v>500</v>
      </c>
      <c r="F2" s="99" t="s">
        <v>84</v>
      </c>
      <c r="G2" s="99" t="s">
        <v>46</v>
      </c>
    </row>
    <row r="3" s="90" customFormat="1" ht="66.75" customHeight="1" spans="1:7">
      <c r="A3" s="100">
        <v>1</v>
      </c>
      <c r="B3" s="101" t="s">
        <v>501</v>
      </c>
      <c r="C3" s="102">
        <v>200</v>
      </c>
      <c r="D3" s="100" t="s">
        <v>502</v>
      </c>
      <c r="E3" s="103">
        <v>300</v>
      </c>
      <c r="F3" s="103">
        <f>E3*C3</f>
        <v>60000</v>
      </c>
      <c r="G3" s="104"/>
    </row>
    <row r="4" s="91" customFormat="1" ht="45" customHeight="1" spans="1:7">
      <c r="A4" s="105" t="s">
        <v>503</v>
      </c>
      <c r="B4" s="106"/>
      <c r="C4" s="106"/>
      <c r="D4" s="106"/>
      <c r="E4" s="107"/>
      <c r="F4" s="107">
        <f>SUM(F3:F3)</f>
        <v>60000</v>
      </c>
      <c r="G4" s="108"/>
    </row>
    <row r="5" s="90" customFormat="1" spans="1:7">
      <c r="A5" s="92"/>
      <c r="B5" s="94"/>
      <c r="G5" s="94"/>
    </row>
    <row r="6" s="90" customFormat="1" spans="1:7">
      <c r="A6" s="92"/>
      <c r="B6" s="94"/>
      <c r="G6" s="94"/>
    </row>
    <row r="7" s="90" customFormat="1" spans="1:7">
      <c r="A7" s="92"/>
      <c r="B7" s="94"/>
      <c r="G7" s="94"/>
    </row>
    <row r="8" s="90" customFormat="1" spans="1:7">
      <c r="A8" s="92"/>
      <c r="B8" s="94"/>
      <c r="G8" s="94"/>
    </row>
    <row r="9" s="90" customFormat="1" spans="1:7">
      <c r="A9" s="92"/>
      <c r="B9" s="94"/>
      <c r="G9" s="94"/>
    </row>
    <row r="10" s="90" customFormat="1" spans="1:7">
      <c r="A10" s="92"/>
      <c r="B10" s="94"/>
      <c r="G10" s="94"/>
    </row>
    <row r="11" s="90" customFormat="1" spans="1:7">
      <c r="A11" s="92"/>
      <c r="B11" s="94"/>
      <c r="G11" s="94"/>
    </row>
    <row r="12" s="90" customFormat="1" spans="1:7">
      <c r="A12" s="92"/>
      <c r="B12" s="94"/>
      <c r="G12" s="94"/>
    </row>
    <row r="13" s="90" customFormat="1" spans="1:7">
      <c r="A13" s="92"/>
      <c r="B13" s="94"/>
      <c r="G13" s="94"/>
    </row>
    <row r="14" s="90" customFormat="1" spans="1:7">
      <c r="A14" s="92"/>
      <c r="B14" s="94"/>
      <c r="G14" s="94"/>
    </row>
    <row r="15" s="90" customFormat="1" spans="1:7">
      <c r="A15" s="92"/>
      <c r="B15" s="94"/>
      <c r="G15" s="94"/>
    </row>
    <row r="16" s="90" customFormat="1" spans="1:7">
      <c r="A16" s="92"/>
      <c r="B16" s="94"/>
      <c r="G16" s="94"/>
    </row>
  </sheetData>
  <sheetProtection formatCells="0" formatColumns="0" formatRows="0" insertRows="0" insertColumns="0" insertHyperlinks="0" deleteColumns="0" deleteRows="0" sort="0" autoFilter="0" pivotTables="0"/>
  <mergeCells count="2">
    <mergeCell ref="A1:G1"/>
    <mergeCell ref="A4:D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topLeftCell="A8" workbookViewId="0">
      <selection activeCell="G14" sqref="G14"/>
    </sheetView>
  </sheetViews>
  <sheetFormatPr defaultColWidth="8" defaultRowHeight="11.25" outlineLevelCol="6"/>
  <cols>
    <col min="1" max="1" width="18.9666666666667" style="65" customWidth="1"/>
    <col min="2" max="2" width="5.925" style="65" customWidth="1"/>
    <col min="3" max="3" width="14.3666666666667" style="65" customWidth="1"/>
    <col min="4" max="4" width="6.66666666666667" style="65" customWidth="1"/>
    <col min="5" max="5" width="30.25" style="65" customWidth="1"/>
    <col min="6" max="6" width="1.33333333333333" style="65" customWidth="1"/>
    <col min="7" max="7" width="24.15" style="65" customWidth="1"/>
    <col min="8" max="16384" width="8" style="65"/>
  </cols>
  <sheetData>
    <row r="1" s="65" customFormat="1" ht="30.75" customHeight="1" spans="1:7">
      <c r="A1" s="66" t="s">
        <v>0</v>
      </c>
      <c r="B1" s="66"/>
      <c r="C1" s="67"/>
      <c r="D1" s="67"/>
      <c r="E1" s="67"/>
      <c r="F1" s="68"/>
      <c r="G1" s="68"/>
    </row>
    <row r="2" s="65" customFormat="1" ht="26.25" customHeight="1" spans="1:7">
      <c r="A2" s="66"/>
      <c r="B2" s="66"/>
      <c r="C2" s="69" t="s">
        <v>1</v>
      </c>
      <c r="D2" s="69"/>
      <c r="E2" s="69"/>
      <c r="F2" s="70"/>
      <c r="G2" s="70"/>
    </row>
    <row r="3" s="65" customFormat="1" ht="47.25" customHeight="1" spans="1:7">
      <c r="A3" s="71"/>
      <c r="B3" s="71"/>
      <c r="C3" s="71"/>
      <c r="D3" s="71"/>
      <c r="E3" s="71"/>
      <c r="F3" s="71"/>
      <c r="G3" s="71"/>
    </row>
    <row r="4" s="65" customFormat="1" ht="44.25" customHeight="1" spans="1:7">
      <c r="A4" s="72" t="s">
        <v>2</v>
      </c>
      <c r="B4" s="72"/>
      <c r="C4" s="72"/>
      <c r="D4" s="72"/>
      <c r="E4" s="72"/>
      <c r="F4" s="72"/>
      <c r="G4" s="72"/>
    </row>
    <row r="5" s="65" customFormat="1" ht="41.25" customHeight="1" spans="1:7">
      <c r="A5" s="71"/>
      <c r="B5" s="71"/>
      <c r="C5" s="71"/>
      <c r="D5" s="71"/>
      <c r="E5" s="71"/>
      <c r="F5" s="71"/>
      <c r="G5" s="71"/>
    </row>
    <row r="6" s="65" customFormat="1" ht="59.25" customHeight="1" spans="1:7">
      <c r="A6" s="73" t="s">
        <v>3</v>
      </c>
      <c r="B6" s="73"/>
      <c r="C6" s="73"/>
      <c r="D6" s="73"/>
      <c r="E6" s="73"/>
      <c r="F6" s="73"/>
      <c r="G6" s="73"/>
    </row>
    <row r="7" s="65" customFormat="1" ht="18" customHeight="1" spans="1:7">
      <c r="A7" s="74" t="s">
        <v>4</v>
      </c>
      <c r="B7" s="74"/>
      <c r="C7" s="74"/>
      <c r="D7" s="74"/>
      <c r="E7" s="74"/>
      <c r="F7" s="74"/>
      <c r="G7" s="74"/>
    </row>
    <row r="8" s="65" customFormat="1" ht="230.25" customHeight="1" spans="1:7">
      <c r="A8" s="75"/>
      <c r="B8" s="76"/>
      <c r="C8" s="76"/>
      <c r="D8" s="75"/>
      <c r="E8" s="75"/>
      <c r="F8" s="75"/>
      <c r="G8" s="75"/>
    </row>
    <row r="9" s="65" customFormat="1" ht="18" customHeight="1" spans="1:7">
      <c r="A9" s="75"/>
      <c r="B9" s="77"/>
      <c r="C9" s="77"/>
      <c r="D9" s="78"/>
      <c r="E9" s="78"/>
      <c r="F9" s="78"/>
      <c r="G9" s="77"/>
    </row>
    <row r="10" s="65" customFormat="1" ht="45" customHeight="1" spans="1:7">
      <c r="A10" s="75"/>
      <c r="B10" s="75" t="s">
        <v>5</v>
      </c>
      <c r="C10" s="75"/>
      <c r="D10" s="79" t="s">
        <v>504</v>
      </c>
      <c r="E10" s="80"/>
      <c r="F10" s="80"/>
      <c r="G10" s="77"/>
    </row>
    <row r="11" s="65" customFormat="1" ht="18" customHeight="1" spans="1:7">
      <c r="A11" s="75"/>
      <c r="B11" s="75"/>
      <c r="C11" s="75"/>
      <c r="D11" s="81"/>
      <c r="E11" s="81"/>
      <c r="F11" s="81"/>
      <c r="G11" s="75"/>
    </row>
    <row r="12" s="65" customFormat="1" ht="28.5" customHeight="1" spans="1:7">
      <c r="A12" s="75"/>
      <c r="B12" s="75" t="s">
        <v>7</v>
      </c>
      <c r="C12" s="75"/>
      <c r="D12" s="82" t="s">
        <v>8</v>
      </c>
      <c r="E12" s="83"/>
      <c r="F12" s="83"/>
      <c r="G12" s="75"/>
    </row>
    <row r="13" s="65" customFormat="1" ht="18" customHeight="1" spans="1:7">
      <c r="A13" s="75"/>
      <c r="B13" s="77"/>
      <c r="C13" s="77"/>
      <c r="D13" s="84"/>
      <c r="E13" s="84"/>
      <c r="F13" s="84"/>
      <c r="G13" s="77"/>
    </row>
    <row r="14" s="65" customFormat="1" ht="28.5" customHeight="1" spans="1:7">
      <c r="A14" s="75"/>
      <c r="B14" s="75" t="s">
        <v>9</v>
      </c>
      <c r="C14" s="75"/>
      <c r="D14" s="82"/>
      <c r="E14" s="83"/>
      <c r="F14" s="83"/>
      <c r="G14" s="75"/>
    </row>
    <row r="15" s="65" customFormat="1" ht="18" customHeight="1" spans="1:7">
      <c r="A15" s="75"/>
      <c r="B15" s="85"/>
      <c r="C15" s="85"/>
      <c r="D15" s="86"/>
      <c r="E15" s="86"/>
      <c r="F15" s="86"/>
      <c r="G15" s="75"/>
    </row>
    <row r="16" s="65" customFormat="1" ht="28.5" customHeight="1" spans="1:7">
      <c r="A16" s="75"/>
      <c r="B16" s="75" t="s">
        <v>10</v>
      </c>
      <c r="C16" s="75"/>
      <c r="D16" s="87"/>
      <c r="E16" s="75"/>
      <c r="F16" s="75"/>
      <c r="G16" s="75"/>
    </row>
    <row r="18" ht="21" customHeight="1"/>
    <row r="19" ht="24" customHeight="1"/>
    <row r="20" ht="14" customHeight="1"/>
    <row r="21" ht="14" customHeight="1"/>
  </sheetData>
  <mergeCells count="31">
    <mergeCell ref="A1:B1"/>
    <mergeCell ref="C1:E1"/>
    <mergeCell ref="F1:G1"/>
    <mergeCell ref="A2:B2"/>
    <mergeCell ref="C2:E2"/>
    <mergeCell ref="F2:G2"/>
    <mergeCell ref="B3:C3"/>
    <mergeCell ref="E3:F3"/>
    <mergeCell ref="A4:G4"/>
    <mergeCell ref="B5:C5"/>
    <mergeCell ref="E5:F5"/>
    <mergeCell ref="A6:G6"/>
    <mergeCell ref="A7:G7"/>
    <mergeCell ref="B8:C8"/>
    <mergeCell ref="D8:F8"/>
    <mergeCell ref="B9:C9"/>
    <mergeCell ref="E9:F9"/>
    <mergeCell ref="B10:C10"/>
    <mergeCell ref="D10:F10"/>
    <mergeCell ref="B11:C11"/>
    <mergeCell ref="E11:F11"/>
    <mergeCell ref="B12:C12"/>
    <mergeCell ref="D12:F12"/>
    <mergeCell ref="B13:C13"/>
    <mergeCell ref="D13:F13"/>
    <mergeCell ref="B14:C14"/>
    <mergeCell ref="D14:F14"/>
    <mergeCell ref="B15:C15"/>
    <mergeCell ref="D15:F15"/>
    <mergeCell ref="B16:C16"/>
    <mergeCell ref="D16:F16"/>
  </mergeCells>
  <pageMargins left="0.75" right="0.75" top="1" bottom="1" header="0.5" footer="0.5"/>
  <pageSetup paperSize="9" scale="8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view="pageBreakPreview" zoomScaleNormal="100" workbookViewId="0">
      <selection activeCell="A5" sqref="A5"/>
    </sheetView>
  </sheetViews>
  <sheetFormatPr defaultColWidth="9" defaultRowHeight="14.25" outlineLevelRow="4" outlineLevelCol="7"/>
  <cols>
    <col min="1" max="1" width="100" style="55" customWidth="1"/>
    <col min="2" max="2" width="3.85833333333333" style="55" customWidth="1"/>
    <col min="3" max="3" width="36.7333333333333" style="55" customWidth="1"/>
    <col min="4" max="8" width="9" style="55" customWidth="1"/>
    <col min="9" max="16384" width="9" style="55"/>
  </cols>
  <sheetData>
    <row r="1" s="55" customFormat="1" ht="60" customHeight="1" spans="1:8">
      <c r="A1" s="57" t="s">
        <v>505</v>
      </c>
      <c r="B1" s="58"/>
    </row>
    <row r="2" s="56" customFormat="1" ht="173" customHeight="1" spans="1:8">
      <c r="A2" s="59" t="s">
        <v>506</v>
      </c>
      <c r="B2" s="60"/>
    </row>
    <row r="3" s="56" customFormat="1" ht="50" customHeight="1" spans="1:8">
      <c r="A3" s="59" t="s">
        <v>507</v>
      </c>
      <c r="B3" s="60"/>
    </row>
    <row r="4" s="56" customFormat="1" ht="50" customHeight="1" spans="1:8">
      <c r="A4" s="61" t="s">
        <v>508</v>
      </c>
      <c r="B4" s="62"/>
      <c r="C4" s="63"/>
      <c r="D4" s="64"/>
      <c r="E4" s="64"/>
      <c r="F4" s="64"/>
      <c r="G4" s="64"/>
      <c r="H4" s="64"/>
    </row>
    <row r="5" s="56" customFormat="1" ht="189" customHeight="1" spans="1:8">
      <c r="A5" s="61" t="s">
        <v>509</v>
      </c>
      <c r="B5" s="62"/>
      <c r="C5" s="63"/>
      <c r="D5" s="64"/>
      <c r="E5" s="64"/>
      <c r="F5" s="64"/>
      <c r="G5" s="64"/>
      <c r="H5" s="64"/>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view="pageBreakPreview" zoomScaleNormal="100" workbookViewId="0">
      <selection activeCell="G5" sqref="G5"/>
    </sheetView>
  </sheetViews>
  <sheetFormatPr defaultColWidth="9" defaultRowHeight="13.5" outlineLevelRow="5" outlineLevelCol="3"/>
  <cols>
    <col min="1" max="1" width="10.125" customWidth="1"/>
    <col min="2" max="2" width="34.125" customWidth="1"/>
    <col min="3" max="3" width="26.875" customWidth="1"/>
    <col min="4" max="4" width="16.25" customWidth="1"/>
    <col min="9" max="9" width="12.625"/>
  </cols>
  <sheetData>
    <row r="1" ht="75" customHeight="1" spans="1:4">
      <c r="A1" s="44" t="s">
        <v>510</v>
      </c>
      <c r="B1" s="44"/>
      <c r="C1" s="44"/>
      <c r="D1" s="44"/>
    </row>
    <row r="2" ht="65" customHeight="1" spans="1:4">
      <c r="A2" s="45" t="s">
        <v>43</v>
      </c>
      <c r="B2" s="45" t="s">
        <v>44</v>
      </c>
      <c r="C2" s="46" t="s">
        <v>45</v>
      </c>
      <c r="D2" s="47" t="s">
        <v>46</v>
      </c>
    </row>
    <row r="3" ht="100" customHeight="1" spans="1:4">
      <c r="A3" s="48">
        <v>1</v>
      </c>
      <c r="B3" s="49" t="s">
        <v>511</v>
      </c>
      <c r="C3" s="50">
        <f>'4#地块电梯维修清单'!G61</f>
        <v>0</v>
      </c>
      <c r="D3" s="49"/>
    </row>
    <row r="4" ht="100" customHeight="1" spans="1:4">
      <c r="A4" s="48">
        <v>2</v>
      </c>
      <c r="B4" s="49" t="s">
        <v>512</v>
      </c>
      <c r="C4" s="50">
        <f>'5#地块电梯维修清单'!G59</f>
        <v>0</v>
      </c>
      <c r="D4" s="49"/>
    </row>
    <row r="5" ht="100" customHeight="1" spans="1:4">
      <c r="A5" s="48">
        <v>3</v>
      </c>
      <c r="B5" s="51" t="s">
        <v>513</v>
      </c>
      <c r="C5" s="52"/>
      <c r="D5" s="51" t="s">
        <v>74</v>
      </c>
    </row>
    <row r="6" ht="90" customHeight="1" spans="1:4">
      <c r="A6" s="53" t="s">
        <v>514</v>
      </c>
      <c r="B6" s="53"/>
      <c r="C6" s="54">
        <f>(C3+C4)*(1+C5)</f>
        <v>0</v>
      </c>
      <c r="D6" s="51"/>
    </row>
  </sheetData>
  <mergeCells count="2">
    <mergeCell ref="A1:D1"/>
    <mergeCell ref="A6:B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view="pageBreakPreview" zoomScaleNormal="100" workbookViewId="0">
      <pane ySplit="2" topLeftCell="A3" activePane="bottomLeft" state="frozen"/>
      <selection/>
      <selection pane="bottomLeft" activeCell="K5" sqref="K5"/>
    </sheetView>
  </sheetViews>
  <sheetFormatPr defaultColWidth="9" defaultRowHeight="13.5" outlineLevelCol="7"/>
  <cols>
    <col min="1" max="1" width="6" style="16" customWidth="1"/>
    <col min="2" max="2" width="10.125" style="16" customWidth="1"/>
    <col min="3" max="3" width="31.125" style="17" customWidth="1"/>
    <col min="4" max="4" width="9" style="16"/>
    <col min="5" max="5" width="6.75" style="16" customWidth="1"/>
    <col min="6" max="6" width="10" style="16" customWidth="1"/>
    <col min="7" max="7" width="10.375" style="16"/>
    <col min="8" max="8" width="9" style="16"/>
    <col min="9" max="16384" width="9" style="18"/>
  </cols>
  <sheetData>
    <row r="1" ht="25.5" spans="1:8">
      <c r="A1" s="19" t="s">
        <v>515</v>
      </c>
      <c r="B1" s="19"/>
      <c r="C1" s="20"/>
      <c r="D1" s="19"/>
      <c r="E1" s="19"/>
      <c r="F1" s="19"/>
      <c r="G1" s="21"/>
      <c r="H1" s="19"/>
    </row>
    <row r="2" ht="35" customHeight="1" spans="1:8">
      <c r="A2" s="22" t="s">
        <v>43</v>
      </c>
      <c r="B2" s="22" t="s">
        <v>79</v>
      </c>
      <c r="C2" s="22" t="s">
        <v>80</v>
      </c>
      <c r="D2" s="22" t="s">
        <v>81</v>
      </c>
      <c r="E2" s="22" t="s">
        <v>82</v>
      </c>
      <c r="F2" s="22" t="s">
        <v>83</v>
      </c>
      <c r="G2" s="23" t="s">
        <v>84</v>
      </c>
      <c r="H2" s="24" t="s">
        <v>46</v>
      </c>
    </row>
    <row r="3" ht="69" customHeight="1" spans="1:8">
      <c r="A3" s="25">
        <v>1</v>
      </c>
      <c r="B3" s="26" t="s">
        <v>516</v>
      </c>
      <c r="C3" s="27" t="s">
        <v>517</v>
      </c>
      <c r="D3" s="28" t="s">
        <v>157</v>
      </c>
      <c r="E3" s="29">
        <v>2</v>
      </c>
      <c r="F3" s="30"/>
      <c r="G3" s="30">
        <f t="shared" ref="G3:G30" si="0">E3*F3</f>
        <v>0</v>
      </c>
      <c r="H3" s="31"/>
    </row>
    <row r="4" ht="76" customHeight="1" spans="1:8">
      <c r="A4" s="25">
        <v>2</v>
      </c>
      <c r="B4" s="26" t="s">
        <v>518</v>
      </c>
      <c r="C4" s="27" t="s">
        <v>517</v>
      </c>
      <c r="D4" s="28" t="s">
        <v>157</v>
      </c>
      <c r="E4" s="29">
        <v>1</v>
      </c>
      <c r="F4" s="30"/>
      <c r="G4" s="30">
        <f t="shared" si="0"/>
        <v>0</v>
      </c>
      <c r="H4" s="31"/>
    </row>
    <row r="5" ht="79" customHeight="1" spans="1:8">
      <c r="A5" s="25">
        <v>3</v>
      </c>
      <c r="B5" s="26" t="s">
        <v>519</v>
      </c>
      <c r="C5" s="27" t="s">
        <v>520</v>
      </c>
      <c r="D5" s="28" t="s">
        <v>157</v>
      </c>
      <c r="E5" s="29">
        <v>2</v>
      </c>
      <c r="F5" s="30"/>
      <c r="G5" s="30">
        <f t="shared" si="0"/>
        <v>0</v>
      </c>
      <c r="H5" s="31"/>
    </row>
    <row r="6" ht="69" customHeight="1" spans="1:8">
      <c r="A6" s="25">
        <v>4</v>
      </c>
      <c r="B6" s="26" t="s">
        <v>521</v>
      </c>
      <c r="C6" s="27" t="s">
        <v>517</v>
      </c>
      <c r="D6" s="28" t="s">
        <v>522</v>
      </c>
      <c r="E6" s="29">
        <v>2</v>
      </c>
      <c r="F6" s="30"/>
      <c r="G6" s="30">
        <f t="shared" si="0"/>
        <v>0</v>
      </c>
      <c r="H6" s="31"/>
    </row>
    <row r="7" ht="79" customHeight="1" spans="1:8">
      <c r="A7" s="25">
        <v>5</v>
      </c>
      <c r="B7" s="26" t="s">
        <v>523</v>
      </c>
      <c r="C7" s="27" t="s">
        <v>524</v>
      </c>
      <c r="D7" s="28" t="s">
        <v>522</v>
      </c>
      <c r="E7" s="29">
        <v>5</v>
      </c>
      <c r="F7" s="30"/>
      <c r="G7" s="30">
        <f t="shared" si="0"/>
        <v>0</v>
      </c>
      <c r="H7" s="31"/>
    </row>
    <row r="8" ht="78" customHeight="1" spans="1:8">
      <c r="A8" s="25">
        <v>6</v>
      </c>
      <c r="B8" s="26" t="s">
        <v>525</v>
      </c>
      <c r="C8" s="27" t="s">
        <v>526</v>
      </c>
      <c r="D8" s="28" t="s">
        <v>188</v>
      </c>
      <c r="E8" s="29">
        <v>1</v>
      </c>
      <c r="F8" s="30"/>
      <c r="G8" s="30">
        <f t="shared" si="0"/>
        <v>0</v>
      </c>
      <c r="H8" s="31"/>
    </row>
    <row r="9" ht="78" customHeight="1" spans="1:8">
      <c r="A9" s="25">
        <v>7</v>
      </c>
      <c r="B9" s="26" t="s">
        <v>527</v>
      </c>
      <c r="C9" s="27" t="s">
        <v>528</v>
      </c>
      <c r="D9" s="28" t="s">
        <v>157</v>
      </c>
      <c r="E9" s="29">
        <v>1</v>
      </c>
      <c r="F9" s="30"/>
      <c r="G9" s="30">
        <f t="shared" si="0"/>
        <v>0</v>
      </c>
      <c r="H9" s="31"/>
    </row>
    <row r="10" ht="78" customHeight="1" spans="1:8">
      <c r="A10" s="25">
        <v>8</v>
      </c>
      <c r="B10" s="26" t="s">
        <v>529</v>
      </c>
      <c r="C10" s="27" t="s">
        <v>530</v>
      </c>
      <c r="D10" s="28" t="s">
        <v>522</v>
      </c>
      <c r="E10" s="29">
        <v>8</v>
      </c>
      <c r="F10" s="30"/>
      <c r="G10" s="30">
        <f t="shared" si="0"/>
        <v>0</v>
      </c>
      <c r="H10" s="31"/>
    </row>
    <row r="11" ht="78" customHeight="1" spans="1:8">
      <c r="A11" s="25">
        <v>9</v>
      </c>
      <c r="B11" s="26" t="s">
        <v>531</v>
      </c>
      <c r="C11" s="27" t="s">
        <v>532</v>
      </c>
      <c r="D11" s="28" t="s">
        <v>188</v>
      </c>
      <c r="E11" s="29">
        <v>1</v>
      </c>
      <c r="F11" s="30"/>
      <c r="G11" s="30">
        <f t="shared" si="0"/>
        <v>0</v>
      </c>
      <c r="H11" s="31"/>
    </row>
    <row r="12" ht="78" customHeight="1" spans="1:8">
      <c r="A12" s="25">
        <v>10</v>
      </c>
      <c r="B12" s="26" t="s">
        <v>533</v>
      </c>
      <c r="C12" s="27" t="s">
        <v>534</v>
      </c>
      <c r="D12" s="28" t="s">
        <v>522</v>
      </c>
      <c r="E12" s="29">
        <v>5</v>
      </c>
      <c r="F12" s="30"/>
      <c r="G12" s="30">
        <f t="shared" si="0"/>
        <v>0</v>
      </c>
      <c r="H12" s="31"/>
    </row>
    <row r="13" ht="77" customHeight="1" spans="1:8">
      <c r="A13" s="25">
        <v>11</v>
      </c>
      <c r="B13" s="26" t="s">
        <v>535</v>
      </c>
      <c r="C13" s="27" t="s">
        <v>536</v>
      </c>
      <c r="D13" s="28" t="s">
        <v>188</v>
      </c>
      <c r="E13" s="29">
        <v>3</v>
      </c>
      <c r="F13" s="30"/>
      <c r="G13" s="30">
        <f t="shared" si="0"/>
        <v>0</v>
      </c>
      <c r="H13" s="31"/>
    </row>
    <row r="14" ht="77" customHeight="1" spans="1:8">
      <c r="A14" s="25">
        <v>12</v>
      </c>
      <c r="B14" s="26" t="s">
        <v>537</v>
      </c>
      <c r="C14" s="27" t="s">
        <v>538</v>
      </c>
      <c r="D14" s="28" t="s">
        <v>157</v>
      </c>
      <c r="E14" s="29">
        <v>6</v>
      </c>
      <c r="F14" s="30"/>
      <c r="G14" s="30">
        <f t="shared" si="0"/>
        <v>0</v>
      </c>
      <c r="H14" s="31"/>
    </row>
    <row r="15" ht="76" customHeight="1" spans="1:8">
      <c r="A15" s="25">
        <v>13</v>
      </c>
      <c r="B15" s="26" t="s">
        <v>539</v>
      </c>
      <c r="C15" s="27" t="s">
        <v>540</v>
      </c>
      <c r="D15" s="28" t="s">
        <v>157</v>
      </c>
      <c r="E15" s="29">
        <v>8</v>
      </c>
      <c r="F15" s="30"/>
      <c r="G15" s="30">
        <f t="shared" si="0"/>
        <v>0</v>
      </c>
      <c r="H15" s="31"/>
    </row>
    <row r="16" ht="83" customHeight="1" spans="1:8">
      <c r="A16" s="25">
        <v>14</v>
      </c>
      <c r="B16" s="32" t="s">
        <v>541</v>
      </c>
      <c r="C16" s="33" t="s">
        <v>542</v>
      </c>
      <c r="D16" s="34" t="s">
        <v>157</v>
      </c>
      <c r="E16" s="29">
        <v>6</v>
      </c>
      <c r="F16" s="30"/>
      <c r="G16" s="30">
        <f t="shared" si="0"/>
        <v>0</v>
      </c>
      <c r="H16" s="35"/>
    </row>
    <row r="17" ht="76" customHeight="1" spans="1:8">
      <c r="A17" s="25">
        <v>15</v>
      </c>
      <c r="B17" s="36" t="s">
        <v>543</v>
      </c>
      <c r="C17" s="37" t="s">
        <v>544</v>
      </c>
      <c r="D17" s="38" t="s">
        <v>522</v>
      </c>
      <c r="E17" s="29">
        <v>6</v>
      </c>
      <c r="F17" s="30"/>
      <c r="G17" s="30">
        <f t="shared" si="0"/>
        <v>0</v>
      </c>
      <c r="H17" s="31"/>
    </row>
    <row r="18" ht="72" spans="1:8">
      <c r="A18" s="25">
        <v>16</v>
      </c>
      <c r="B18" s="36" t="s">
        <v>545</v>
      </c>
      <c r="C18" s="37" t="s">
        <v>546</v>
      </c>
      <c r="D18" s="38" t="s">
        <v>157</v>
      </c>
      <c r="E18" s="29">
        <v>8</v>
      </c>
      <c r="F18" s="30"/>
      <c r="G18" s="30">
        <f t="shared" si="0"/>
        <v>0</v>
      </c>
      <c r="H18" s="31"/>
    </row>
    <row r="19" ht="72" spans="1:8">
      <c r="A19" s="25">
        <v>17</v>
      </c>
      <c r="B19" s="36" t="s">
        <v>547</v>
      </c>
      <c r="C19" s="37" t="s">
        <v>548</v>
      </c>
      <c r="D19" s="38" t="s">
        <v>188</v>
      </c>
      <c r="E19" s="29">
        <v>6</v>
      </c>
      <c r="F19" s="30"/>
      <c r="G19" s="30">
        <f t="shared" si="0"/>
        <v>0</v>
      </c>
      <c r="H19" s="31"/>
    </row>
    <row r="20" ht="72" spans="1:8">
      <c r="A20" s="25">
        <v>18</v>
      </c>
      <c r="B20" s="36" t="s">
        <v>549</v>
      </c>
      <c r="C20" s="37" t="s">
        <v>550</v>
      </c>
      <c r="D20" s="38" t="s">
        <v>157</v>
      </c>
      <c r="E20" s="29">
        <v>3</v>
      </c>
      <c r="F20" s="30"/>
      <c r="G20" s="30">
        <f t="shared" si="0"/>
        <v>0</v>
      </c>
      <c r="H20" s="31"/>
    </row>
    <row r="21" ht="72" spans="1:8">
      <c r="A21" s="25">
        <v>19</v>
      </c>
      <c r="B21" s="36" t="s">
        <v>551</v>
      </c>
      <c r="C21" s="37" t="s">
        <v>552</v>
      </c>
      <c r="D21" s="38" t="s">
        <v>522</v>
      </c>
      <c r="E21" s="29">
        <v>4</v>
      </c>
      <c r="F21" s="30"/>
      <c r="G21" s="30">
        <f t="shared" si="0"/>
        <v>0</v>
      </c>
      <c r="H21" s="31"/>
    </row>
    <row r="22" ht="72" spans="1:8">
      <c r="A22" s="25">
        <v>20</v>
      </c>
      <c r="B22" s="36" t="s">
        <v>533</v>
      </c>
      <c r="C22" s="37" t="s">
        <v>553</v>
      </c>
      <c r="D22" s="38" t="s">
        <v>554</v>
      </c>
      <c r="E22" s="29">
        <v>6</v>
      </c>
      <c r="F22" s="30"/>
      <c r="G22" s="30">
        <f t="shared" si="0"/>
        <v>0</v>
      </c>
      <c r="H22" s="31"/>
    </row>
    <row r="23" ht="72" spans="1:8">
      <c r="A23" s="25">
        <v>21</v>
      </c>
      <c r="B23" s="36" t="s">
        <v>555</v>
      </c>
      <c r="C23" s="37" t="s">
        <v>556</v>
      </c>
      <c r="D23" s="38" t="s">
        <v>188</v>
      </c>
      <c r="E23" s="29">
        <v>4</v>
      </c>
      <c r="F23" s="30"/>
      <c r="G23" s="30">
        <f t="shared" si="0"/>
        <v>0</v>
      </c>
      <c r="H23" s="31"/>
    </row>
    <row r="24" ht="72" spans="1:8">
      <c r="A24" s="25">
        <v>22</v>
      </c>
      <c r="B24" s="36" t="s">
        <v>557</v>
      </c>
      <c r="C24" s="37" t="s">
        <v>558</v>
      </c>
      <c r="D24" s="38" t="s">
        <v>157</v>
      </c>
      <c r="E24" s="29">
        <v>1</v>
      </c>
      <c r="F24" s="30"/>
      <c r="G24" s="30">
        <f t="shared" si="0"/>
        <v>0</v>
      </c>
      <c r="H24" s="31"/>
    </row>
    <row r="25" ht="72" spans="1:8">
      <c r="A25" s="25">
        <v>23</v>
      </c>
      <c r="B25" s="36" t="s">
        <v>559</v>
      </c>
      <c r="C25" s="37" t="s">
        <v>560</v>
      </c>
      <c r="D25" s="38" t="s">
        <v>157</v>
      </c>
      <c r="E25" s="29">
        <v>6</v>
      </c>
      <c r="F25" s="30"/>
      <c r="G25" s="30">
        <f t="shared" si="0"/>
        <v>0</v>
      </c>
      <c r="H25" s="31"/>
    </row>
    <row r="26" ht="60" spans="1:8">
      <c r="A26" s="25">
        <v>24</v>
      </c>
      <c r="B26" s="36" t="s">
        <v>561</v>
      </c>
      <c r="C26" s="39" t="s">
        <v>562</v>
      </c>
      <c r="D26" s="38" t="s">
        <v>157</v>
      </c>
      <c r="E26" s="29">
        <v>6</v>
      </c>
      <c r="F26" s="30"/>
      <c r="G26" s="30">
        <f t="shared" si="0"/>
        <v>0</v>
      </c>
      <c r="H26" s="31"/>
    </row>
    <row r="27" ht="72" spans="1:8">
      <c r="A27" s="25">
        <v>25</v>
      </c>
      <c r="B27" s="36" t="s">
        <v>563</v>
      </c>
      <c r="C27" s="37" t="s">
        <v>564</v>
      </c>
      <c r="D27" s="38" t="s">
        <v>157</v>
      </c>
      <c r="E27" s="29">
        <v>3</v>
      </c>
      <c r="F27" s="30"/>
      <c r="G27" s="30">
        <f t="shared" si="0"/>
        <v>0</v>
      </c>
      <c r="H27" s="31"/>
    </row>
    <row r="28" ht="72" spans="1:8">
      <c r="A28" s="25">
        <v>26</v>
      </c>
      <c r="B28" s="36" t="s">
        <v>565</v>
      </c>
      <c r="C28" s="37" t="s">
        <v>566</v>
      </c>
      <c r="D28" s="38" t="s">
        <v>157</v>
      </c>
      <c r="E28" s="29">
        <v>1</v>
      </c>
      <c r="F28" s="30"/>
      <c r="G28" s="30">
        <f t="shared" si="0"/>
        <v>0</v>
      </c>
      <c r="H28" s="31"/>
    </row>
    <row r="29" ht="60" spans="1:8">
      <c r="A29" s="25">
        <v>27</v>
      </c>
      <c r="B29" s="36" t="s">
        <v>567</v>
      </c>
      <c r="C29" s="39" t="s">
        <v>562</v>
      </c>
      <c r="D29" s="38" t="s">
        <v>188</v>
      </c>
      <c r="E29" s="29">
        <v>5</v>
      </c>
      <c r="F29" s="30"/>
      <c r="G29" s="30">
        <f t="shared" si="0"/>
        <v>0</v>
      </c>
      <c r="H29" s="31"/>
    </row>
    <row r="30" ht="72" spans="1:8">
      <c r="A30" s="25">
        <v>28</v>
      </c>
      <c r="B30" s="36" t="s">
        <v>568</v>
      </c>
      <c r="C30" s="37" t="s">
        <v>569</v>
      </c>
      <c r="D30" s="38" t="s">
        <v>157</v>
      </c>
      <c r="E30" s="29">
        <v>1</v>
      </c>
      <c r="F30" s="30"/>
      <c r="G30" s="30">
        <f t="shared" si="0"/>
        <v>0</v>
      </c>
      <c r="H30" s="31"/>
    </row>
    <row r="31" ht="60" spans="1:8">
      <c r="A31" s="25">
        <v>29</v>
      </c>
      <c r="B31" s="36" t="s">
        <v>570</v>
      </c>
      <c r="C31" s="39" t="s">
        <v>562</v>
      </c>
      <c r="D31" s="38" t="s">
        <v>157</v>
      </c>
      <c r="E31" s="29">
        <v>6</v>
      </c>
      <c r="F31" s="30"/>
      <c r="G31" s="30">
        <f t="shared" ref="G31:G60" si="1">E31*F31</f>
        <v>0</v>
      </c>
      <c r="H31" s="31"/>
    </row>
    <row r="32" ht="72" spans="1:8">
      <c r="A32" s="25">
        <v>30</v>
      </c>
      <c r="B32" s="36" t="s">
        <v>571</v>
      </c>
      <c r="C32" s="37" t="s">
        <v>572</v>
      </c>
      <c r="D32" s="38" t="s">
        <v>157</v>
      </c>
      <c r="E32" s="29">
        <v>1</v>
      </c>
      <c r="F32" s="30"/>
      <c r="G32" s="30">
        <f t="shared" si="1"/>
        <v>0</v>
      </c>
      <c r="H32" s="31"/>
    </row>
    <row r="33" ht="72" spans="1:8">
      <c r="A33" s="25">
        <v>31</v>
      </c>
      <c r="B33" s="36" t="s">
        <v>573</v>
      </c>
      <c r="C33" s="37" t="s">
        <v>574</v>
      </c>
      <c r="D33" s="38" t="s">
        <v>157</v>
      </c>
      <c r="E33" s="29">
        <v>1</v>
      </c>
      <c r="F33" s="30"/>
      <c r="G33" s="30">
        <f t="shared" si="1"/>
        <v>0</v>
      </c>
      <c r="H33" s="31"/>
    </row>
    <row r="34" ht="72" spans="1:8">
      <c r="A34" s="25">
        <v>32</v>
      </c>
      <c r="B34" s="36" t="s">
        <v>571</v>
      </c>
      <c r="C34" s="37" t="s">
        <v>575</v>
      </c>
      <c r="D34" s="38" t="s">
        <v>157</v>
      </c>
      <c r="E34" s="29">
        <v>1</v>
      </c>
      <c r="F34" s="30"/>
      <c r="G34" s="30">
        <f t="shared" si="1"/>
        <v>0</v>
      </c>
      <c r="H34" s="31"/>
    </row>
    <row r="35" ht="72" spans="1:8">
      <c r="A35" s="25">
        <v>33</v>
      </c>
      <c r="B35" s="36" t="s">
        <v>576</v>
      </c>
      <c r="C35" s="37" t="s">
        <v>577</v>
      </c>
      <c r="D35" s="38" t="s">
        <v>157</v>
      </c>
      <c r="E35" s="29">
        <v>1</v>
      </c>
      <c r="F35" s="30"/>
      <c r="G35" s="30">
        <f t="shared" si="1"/>
        <v>0</v>
      </c>
      <c r="H35" s="31"/>
    </row>
    <row r="36" ht="72" spans="1:8">
      <c r="A36" s="25">
        <v>34</v>
      </c>
      <c r="B36" s="36" t="s">
        <v>578</v>
      </c>
      <c r="C36" s="37" t="s">
        <v>579</v>
      </c>
      <c r="D36" s="38" t="s">
        <v>157</v>
      </c>
      <c r="E36" s="29">
        <v>1</v>
      </c>
      <c r="F36" s="30"/>
      <c r="G36" s="30">
        <f t="shared" si="1"/>
        <v>0</v>
      </c>
      <c r="H36" s="31"/>
    </row>
    <row r="37" ht="72" spans="1:8">
      <c r="A37" s="25">
        <v>35</v>
      </c>
      <c r="B37" s="36" t="s">
        <v>580</v>
      </c>
      <c r="C37" s="37" t="s">
        <v>581</v>
      </c>
      <c r="D37" s="38" t="s">
        <v>157</v>
      </c>
      <c r="E37" s="29">
        <v>1</v>
      </c>
      <c r="F37" s="30"/>
      <c r="G37" s="30">
        <f t="shared" si="1"/>
        <v>0</v>
      </c>
      <c r="H37" s="31"/>
    </row>
    <row r="38" ht="60" spans="1:8">
      <c r="A38" s="25">
        <v>36</v>
      </c>
      <c r="B38" s="36" t="s">
        <v>580</v>
      </c>
      <c r="C38" s="39" t="s">
        <v>562</v>
      </c>
      <c r="D38" s="38" t="s">
        <v>157</v>
      </c>
      <c r="E38" s="29">
        <v>1</v>
      </c>
      <c r="F38" s="30"/>
      <c r="G38" s="30">
        <f t="shared" si="1"/>
        <v>0</v>
      </c>
      <c r="H38" s="31"/>
    </row>
    <row r="39" ht="72" spans="1:8">
      <c r="A39" s="25">
        <v>37</v>
      </c>
      <c r="B39" s="36" t="s">
        <v>582</v>
      </c>
      <c r="C39" s="37" t="s">
        <v>583</v>
      </c>
      <c r="D39" s="38" t="s">
        <v>522</v>
      </c>
      <c r="E39" s="29">
        <v>1</v>
      </c>
      <c r="F39" s="30"/>
      <c r="G39" s="30">
        <f t="shared" si="1"/>
        <v>0</v>
      </c>
      <c r="H39" s="31"/>
    </row>
    <row r="40" ht="60" spans="1:8">
      <c r="A40" s="25">
        <v>38</v>
      </c>
      <c r="B40" s="36" t="s">
        <v>584</v>
      </c>
      <c r="C40" s="39" t="s">
        <v>562</v>
      </c>
      <c r="D40" s="38" t="s">
        <v>172</v>
      </c>
      <c r="E40" s="29">
        <v>1</v>
      </c>
      <c r="F40" s="30"/>
      <c r="G40" s="30">
        <f t="shared" si="1"/>
        <v>0</v>
      </c>
      <c r="H40" s="31"/>
    </row>
    <row r="41" ht="60" spans="1:8">
      <c r="A41" s="25">
        <v>39</v>
      </c>
      <c r="B41" s="36" t="s">
        <v>585</v>
      </c>
      <c r="C41" s="39" t="s">
        <v>562</v>
      </c>
      <c r="D41" s="38" t="s">
        <v>522</v>
      </c>
      <c r="E41" s="29">
        <v>2</v>
      </c>
      <c r="F41" s="30"/>
      <c r="G41" s="30">
        <f t="shared" si="1"/>
        <v>0</v>
      </c>
      <c r="H41" s="31"/>
    </row>
    <row r="42" ht="60" spans="1:8">
      <c r="A42" s="25">
        <v>40</v>
      </c>
      <c r="B42" s="36" t="s">
        <v>586</v>
      </c>
      <c r="C42" s="39" t="s">
        <v>562</v>
      </c>
      <c r="D42" s="38" t="s">
        <v>172</v>
      </c>
      <c r="E42" s="29">
        <v>1</v>
      </c>
      <c r="F42" s="30"/>
      <c r="G42" s="30">
        <f t="shared" si="1"/>
        <v>0</v>
      </c>
      <c r="H42" s="31"/>
    </row>
    <row r="43" ht="60" spans="1:8">
      <c r="A43" s="25">
        <v>41</v>
      </c>
      <c r="B43" s="36" t="s">
        <v>587</v>
      </c>
      <c r="C43" s="39" t="s">
        <v>562</v>
      </c>
      <c r="D43" s="38" t="s">
        <v>522</v>
      </c>
      <c r="E43" s="29">
        <v>1</v>
      </c>
      <c r="F43" s="30"/>
      <c r="G43" s="30">
        <f t="shared" si="1"/>
        <v>0</v>
      </c>
      <c r="H43" s="31"/>
    </row>
    <row r="44" ht="72" spans="1:8">
      <c r="A44" s="25">
        <v>42</v>
      </c>
      <c r="B44" s="36" t="s">
        <v>571</v>
      </c>
      <c r="C44" s="37" t="s">
        <v>588</v>
      </c>
      <c r="D44" s="38" t="s">
        <v>157</v>
      </c>
      <c r="E44" s="29">
        <v>1</v>
      </c>
      <c r="F44" s="30"/>
      <c r="G44" s="30">
        <f t="shared" si="1"/>
        <v>0</v>
      </c>
      <c r="H44" s="31"/>
    </row>
    <row r="45" ht="72" spans="1:8">
      <c r="A45" s="25">
        <v>43</v>
      </c>
      <c r="B45" s="36" t="s">
        <v>589</v>
      </c>
      <c r="C45" s="37" t="s">
        <v>579</v>
      </c>
      <c r="D45" s="38" t="s">
        <v>157</v>
      </c>
      <c r="E45" s="29">
        <v>1</v>
      </c>
      <c r="F45" s="30"/>
      <c r="G45" s="30">
        <f t="shared" si="1"/>
        <v>0</v>
      </c>
      <c r="H45" s="31"/>
    </row>
    <row r="46" ht="60" spans="1:8">
      <c r="A46" s="25">
        <v>44</v>
      </c>
      <c r="B46" s="36" t="s">
        <v>590</v>
      </c>
      <c r="C46" s="39" t="s">
        <v>562</v>
      </c>
      <c r="D46" s="38" t="s">
        <v>522</v>
      </c>
      <c r="E46" s="29">
        <v>1</v>
      </c>
      <c r="F46" s="30"/>
      <c r="G46" s="30">
        <f t="shared" si="1"/>
        <v>0</v>
      </c>
      <c r="H46" s="31"/>
    </row>
    <row r="47" ht="72" spans="1:8">
      <c r="A47" s="25">
        <v>45</v>
      </c>
      <c r="B47" s="36" t="s">
        <v>591</v>
      </c>
      <c r="C47" s="37" t="s">
        <v>592</v>
      </c>
      <c r="D47" s="38" t="s">
        <v>157</v>
      </c>
      <c r="E47" s="29">
        <v>6</v>
      </c>
      <c r="F47" s="30"/>
      <c r="G47" s="30">
        <f t="shared" si="1"/>
        <v>0</v>
      </c>
      <c r="H47" s="31"/>
    </row>
    <row r="48" ht="60" spans="1:8">
      <c r="A48" s="25">
        <v>46</v>
      </c>
      <c r="B48" s="36" t="s">
        <v>593</v>
      </c>
      <c r="C48" s="39" t="s">
        <v>562</v>
      </c>
      <c r="D48" s="38" t="s">
        <v>522</v>
      </c>
      <c r="E48" s="29">
        <v>1</v>
      </c>
      <c r="F48" s="30"/>
      <c r="G48" s="30">
        <f t="shared" si="1"/>
        <v>0</v>
      </c>
      <c r="H48" s="31"/>
    </row>
    <row r="49" ht="60" spans="1:8">
      <c r="A49" s="25">
        <v>47</v>
      </c>
      <c r="B49" s="36" t="s">
        <v>594</v>
      </c>
      <c r="C49" s="39" t="s">
        <v>562</v>
      </c>
      <c r="D49" s="38" t="s">
        <v>157</v>
      </c>
      <c r="E49" s="29">
        <v>1</v>
      </c>
      <c r="F49" s="30"/>
      <c r="G49" s="30">
        <f t="shared" si="1"/>
        <v>0</v>
      </c>
      <c r="H49" s="31"/>
    </row>
    <row r="50" ht="60" spans="1:8">
      <c r="A50" s="25">
        <v>48</v>
      </c>
      <c r="B50" s="36" t="s">
        <v>595</v>
      </c>
      <c r="C50" s="39" t="s">
        <v>562</v>
      </c>
      <c r="D50" s="38" t="s">
        <v>157</v>
      </c>
      <c r="E50" s="29">
        <v>1</v>
      </c>
      <c r="F50" s="30"/>
      <c r="G50" s="30">
        <f t="shared" si="1"/>
        <v>0</v>
      </c>
      <c r="H50" s="31"/>
    </row>
    <row r="51" ht="60" spans="1:8">
      <c r="A51" s="25">
        <v>49</v>
      </c>
      <c r="B51" s="36" t="s">
        <v>596</v>
      </c>
      <c r="C51" s="39" t="s">
        <v>562</v>
      </c>
      <c r="D51" s="40" t="s">
        <v>157</v>
      </c>
      <c r="E51" s="29">
        <v>1</v>
      </c>
      <c r="F51" s="30"/>
      <c r="G51" s="30">
        <f t="shared" si="1"/>
        <v>0</v>
      </c>
      <c r="H51" s="31"/>
    </row>
    <row r="52" ht="72" spans="1:8">
      <c r="A52" s="25">
        <v>50</v>
      </c>
      <c r="B52" s="36" t="s">
        <v>597</v>
      </c>
      <c r="C52" s="37" t="s">
        <v>598</v>
      </c>
      <c r="D52" s="38" t="s">
        <v>157</v>
      </c>
      <c r="E52" s="29">
        <v>4</v>
      </c>
      <c r="F52" s="30"/>
      <c r="G52" s="30">
        <f t="shared" si="1"/>
        <v>0</v>
      </c>
      <c r="H52" s="31"/>
    </row>
    <row r="53" ht="72" spans="1:8">
      <c r="A53" s="25">
        <v>51</v>
      </c>
      <c r="B53" s="36" t="s">
        <v>599</v>
      </c>
      <c r="C53" s="37" t="s">
        <v>600</v>
      </c>
      <c r="D53" s="38" t="s">
        <v>157</v>
      </c>
      <c r="E53" s="29">
        <v>1</v>
      </c>
      <c r="F53" s="30"/>
      <c r="G53" s="30">
        <f t="shared" si="1"/>
        <v>0</v>
      </c>
      <c r="H53" s="31"/>
    </row>
    <row r="54" ht="72" spans="1:8">
      <c r="A54" s="25">
        <v>52</v>
      </c>
      <c r="B54" s="36" t="s">
        <v>601</v>
      </c>
      <c r="C54" s="37" t="s">
        <v>602</v>
      </c>
      <c r="D54" s="38" t="s">
        <v>522</v>
      </c>
      <c r="E54" s="29">
        <v>1</v>
      </c>
      <c r="F54" s="30"/>
      <c r="G54" s="30">
        <f t="shared" si="1"/>
        <v>0</v>
      </c>
      <c r="H54" s="31"/>
    </row>
    <row r="55" ht="72" spans="1:8">
      <c r="A55" s="25">
        <v>53</v>
      </c>
      <c r="B55" s="36" t="s">
        <v>599</v>
      </c>
      <c r="C55" s="37" t="s">
        <v>603</v>
      </c>
      <c r="D55" s="38" t="s">
        <v>157</v>
      </c>
      <c r="E55" s="29">
        <v>1</v>
      </c>
      <c r="F55" s="30"/>
      <c r="G55" s="30">
        <f t="shared" si="1"/>
        <v>0</v>
      </c>
      <c r="H55" s="31"/>
    </row>
    <row r="56" ht="60" spans="1:8">
      <c r="A56" s="25">
        <v>54</v>
      </c>
      <c r="B56" s="36" t="s">
        <v>604</v>
      </c>
      <c r="C56" s="39" t="s">
        <v>562</v>
      </c>
      <c r="D56" s="38" t="s">
        <v>157</v>
      </c>
      <c r="E56" s="29">
        <v>2</v>
      </c>
      <c r="F56" s="30"/>
      <c r="G56" s="30">
        <f t="shared" si="1"/>
        <v>0</v>
      </c>
      <c r="H56" s="31"/>
    </row>
    <row r="57" ht="60" spans="1:8">
      <c r="A57" s="25">
        <v>55</v>
      </c>
      <c r="B57" s="36" t="s">
        <v>605</v>
      </c>
      <c r="C57" s="39" t="s">
        <v>562</v>
      </c>
      <c r="D57" s="38" t="s">
        <v>522</v>
      </c>
      <c r="E57" s="29">
        <v>1</v>
      </c>
      <c r="F57" s="30"/>
      <c r="G57" s="30">
        <f t="shared" si="1"/>
        <v>0</v>
      </c>
      <c r="H57" s="31"/>
    </row>
    <row r="58" ht="60" spans="1:8">
      <c r="A58" s="25">
        <v>56</v>
      </c>
      <c r="B58" s="36" t="s">
        <v>606</v>
      </c>
      <c r="C58" s="39" t="s">
        <v>562</v>
      </c>
      <c r="D58" s="38" t="s">
        <v>522</v>
      </c>
      <c r="E58" s="29">
        <v>1</v>
      </c>
      <c r="F58" s="30"/>
      <c r="G58" s="30">
        <f t="shared" si="1"/>
        <v>0</v>
      </c>
      <c r="H58" s="31"/>
    </row>
    <row r="59" ht="72" spans="1:8">
      <c r="A59" s="25">
        <v>57</v>
      </c>
      <c r="B59" s="36" t="s">
        <v>607</v>
      </c>
      <c r="C59" s="37" t="s">
        <v>608</v>
      </c>
      <c r="D59" s="36" t="s">
        <v>188</v>
      </c>
      <c r="E59" s="29">
        <v>1</v>
      </c>
      <c r="F59" s="30"/>
      <c r="G59" s="30">
        <f t="shared" si="1"/>
        <v>0</v>
      </c>
      <c r="H59" s="31"/>
    </row>
    <row r="60" ht="36" spans="1:8">
      <c r="A60" s="25">
        <v>58</v>
      </c>
      <c r="B60" s="36" t="s">
        <v>71</v>
      </c>
      <c r="C60" s="37" t="s">
        <v>609</v>
      </c>
      <c r="D60" s="36" t="s">
        <v>502</v>
      </c>
      <c r="E60" s="29">
        <v>5</v>
      </c>
      <c r="F60" s="30"/>
      <c r="G60" s="30">
        <f t="shared" si="1"/>
        <v>0</v>
      </c>
      <c r="H60" s="31"/>
    </row>
    <row r="61" ht="40" customHeight="1" spans="1:8">
      <c r="A61" s="41" t="s">
        <v>498</v>
      </c>
      <c r="B61" s="41"/>
      <c r="C61" s="42"/>
      <c r="D61" s="31"/>
      <c r="E61" s="31"/>
      <c r="F61" s="31"/>
      <c r="G61" s="43">
        <f>SUM(G3:G60)</f>
        <v>0</v>
      </c>
      <c r="H61" s="31"/>
    </row>
  </sheetData>
  <autoFilter xmlns:etc="http://www.wps.cn/officeDocument/2017/etCustomData" ref="A2:H61" etc:filterBottomFollowUsedRange="0">
    <extLst/>
  </autoFilter>
  <mergeCells count="2">
    <mergeCell ref="A1:H1"/>
    <mergeCell ref="A61:B61"/>
  </mergeCells>
  <pageMargins left="0.75" right="0.75" top="1" bottom="1" header="0.5" footer="0.5"/>
  <pageSetup paperSize="9" scale="9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s P r o p s > < w o B o o k P r o p s > < b o o k S e t t i n g s   f i l e I d = " 4 6 5 6 9 4 6 1 2 6 9 3 "   i s F i l t e r S h a r e d = " 0 " 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0 " / > < p i x e l a t o r L i s t   s h e e t S t i d = " 1 9 " / > < p i x e l a t o r L i s t   s h e e t S t i d = " 1 7 " / > < p i x e l a t o r L i s t   s h e e t S t i d = " 1 3 " / > < p i x e l a t o r L i s t   s h e e t S t i d = " 1 5 " / > < p i x e l a t o r L i s t   s h e e t S t i d = " 2 1 " / > < / p i x e l a t o r s > 
</file>

<file path=customXml/item3.xml>��< ? x m l   v e r s i o n = " 1 . 0 "   s t a n d a l o n e = " y e s " ? > < a u t o f i l t e r 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12</vt:i4>
      </vt:variant>
    </vt:vector>
  </HeadingPairs>
  <TitlesOfParts>
    <vt:vector size="12" baseType="lpstr">
      <vt:lpstr>招-封面 招标工程量清单</vt:lpstr>
      <vt:lpstr>编制说明</vt:lpstr>
      <vt:lpstr>汇总表</vt:lpstr>
      <vt:lpstr>清单明细一</vt:lpstr>
      <vt:lpstr>清单明细二</vt:lpstr>
      <vt:lpstr>招-封面 招标工程量清单1</vt:lpstr>
      <vt:lpstr>编制说明1</vt:lpstr>
      <vt:lpstr>电梯质保投标报价汇总表</vt:lpstr>
      <vt:lpstr>4#地块电梯维修清单</vt:lpstr>
      <vt:lpstr>5#地块电梯维修清单</vt:lpstr>
      <vt:lpstr>电梯质保控制价计算表</vt:lpstr>
      <vt:lpstr>询价记录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张攀</cp:lastModifiedBy>
  <dcterms:created xsi:type="dcterms:W3CDTF">2019-03-11T13:58:00Z</dcterms:created>
  <cp:lastPrinted>2019-04-17T03:47:00Z</cp:lastPrinted>
  <dcterms:modified xsi:type="dcterms:W3CDTF">2026-05-19T08:31:02Z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992A4135934A45FC8CBB29A56905B282_13</vt:lpwstr>
  </property>
  <property fmtid="{D5CDD505-2E9C-101B-9397-08002B2CF9AE}" pid="5" name="CalculationRule">
    <vt:i4>0</vt:i4>
  </property>
</Properties>
</file>